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<sst xmlns="http://schemas.openxmlformats.org/spreadsheetml/2006/main" count="454" uniqueCount="193">
  <si>
    <t>Цена</t>
  </si>
  <si>
    <t>Белки</t>
  </si>
  <si>
    <t>Жиры</t>
  </si>
  <si>
    <t>Углеводы</t>
  </si>
  <si>
    <t xml:space="preserve">Завтрак </t>
  </si>
  <si>
    <t>200</t>
  </si>
  <si>
    <t>150</t>
  </si>
  <si>
    <t>Итого</t>
  </si>
  <si>
    <t>2 Завтрак</t>
  </si>
  <si>
    <t>Обед</t>
  </si>
  <si>
    <t>75</t>
  </si>
  <si>
    <t>Хлеб "Рябинушка"</t>
  </si>
  <si>
    <t>Полдник</t>
  </si>
  <si>
    <t>Ужин</t>
  </si>
  <si>
    <t>1/20</t>
  </si>
  <si>
    <t>Итого за день</t>
  </si>
  <si>
    <t xml:space="preserve">2 Завтрак </t>
  </si>
  <si>
    <t xml:space="preserve">Полдник </t>
  </si>
  <si>
    <t>Завтрак</t>
  </si>
  <si>
    <t xml:space="preserve">2 завтрак </t>
  </si>
  <si>
    <t xml:space="preserve">Молоко кипяченое </t>
  </si>
  <si>
    <t>сад</t>
  </si>
  <si>
    <t>ясли</t>
  </si>
  <si>
    <t>697./04</t>
  </si>
  <si>
    <t>№ рец.</t>
  </si>
  <si>
    <t>698./04</t>
  </si>
  <si>
    <t>Кисель</t>
  </si>
  <si>
    <t>Макароны отварные</t>
  </si>
  <si>
    <t>510./04</t>
  </si>
  <si>
    <t>516./04</t>
  </si>
  <si>
    <t>60</t>
  </si>
  <si>
    <t>180</t>
  </si>
  <si>
    <t>ТТК-305</t>
  </si>
  <si>
    <t xml:space="preserve">Какао с молоком </t>
  </si>
  <si>
    <t>Прием пищи, наименование блюда</t>
  </si>
  <si>
    <t xml:space="preserve">Масса порции </t>
  </si>
  <si>
    <t>Пищевые вещества (г)</t>
  </si>
  <si>
    <t>Энерг. ценность (ккал)</t>
  </si>
  <si>
    <t>Витамины (мг)</t>
  </si>
  <si>
    <t>Минеральные вещества (мг)</t>
  </si>
  <si>
    <t>С</t>
  </si>
  <si>
    <t>Ca</t>
  </si>
  <si>
    <t>Fe</t>
  </si>
  <si>
    <t>2,4 группа</t>
  </si>
  <si>
    <t xml:space="preserve">ИТОГО ЗА НЕДЕЛЮ:                                    </t>
  </si>
  <si>
    <t>В среднем в день</t>
  </si>
  <si>
    <r>
      <t>В</t>
    </r>
    <r>
      <rPr>
        <vertAlign val="subscript"/>
        <sz val="10"/>
        <rFont val="Times New Roman"/>
        <family val="1"/>
      </rPr>
      <t>2</t>
    </r>
  </si>
  <si>
    <t>Хлеб "Дарницкий"</t>
  </si>
  <si>
    <t>648./04</t>
  </si>
  <si>
    <t>В.П. Гусева</t>
  </si>
  <si>
    <t>395/10</t>
  </si>
  <si>
    <t>707./04</t>
  </si>
  <si>
    <t xml:space="preserve">Кофейный напиток с молоком </t>
  </si>
  <si>
    <t xml:space="preserve">Генеральный директор                                                                                                                     </t>
  </si>
  <si>
    <t>Сок разливной</t>
  </si>
  <si>
    <t>11 группа: сады № 28, 30, 34, 40, 50, 50(ф), 51, 52, 54, 93, 103, 110</t>
  </si>
  <si>
    <t>337./04</t>
  </si>
  <si>
    <t>Яйцо вареное</t>
  </si>
  <si>
    <t>1 шт</t>
  </si>
  <si>
    <t>100/50</t>
  </si>
  <si>
    <t>3./04</t>
  </si>
  <si>
    <t>200/25</t>
  </si>
  <si>
    <t>150/25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</si>
  <si>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</si>
  <si>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</si>
  <si>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</si>
  <si>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</si>
  <si>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12 группа: сады № 7, 12, 14, 18, 21, 29, 31, 35, 39, 46, 97, 106, 115</t>
  </si>
  <si>
    <t>18 группа: сады № 8, 9, 16, 27, 62, 65, 66, 82, 86, 108, 109, 118</t>
  </si>
  <si>
    <t>17 группа: сады № 41, 44, 53, 61, 78, 80, 83, 94, 98, 104, 111, 114</t>
  </si>
  <si>
    <t>Кефир</t>
  </si>
  <si>
    <t>50/150</t>
  </si>
  <si>
    <t>130</t>
  </si>
  <si>
    <t>1/46,4</t>
  </si>
  <si>
    <t>1/40,6</t>
  </si>
  <si>
    <t>161./04</t>
  </si>
  <si>
    <t>135/04</t>
  </si>
  <si>
    <t xml:space="preserve">Экономист по ценам                                                                                                  </t>
  </si>
  <si>
    <t>ТТК-475</t>
  </si>
  <si>
    <t>Чай полусладкий</t>
  </si>
  <si>
    <t>200/3</t>
  </si>
  <si>
    <t>150/3</t>
  </si>
  <si>
    <t>Каша гречневая вязкая</t>
  </si>
  <si>
    <t>Напиток "Фруктовый" из сухофруктов</t>
  </si>
  <si>
    <t>200/10</t>
  </si>
  <si>
    <t>150/10</t>
  </si>
  <si>
    <t>50/30</t>
  </si>
  <si>
    <t>50</t>
  </si>
  <si>
    <t>520./04</t>
  </si>
  <si>
    <t>Картофельное пюре</t>
  </si>
  <si>
    <t>ТТК-317</t>
  </si>
  <si>
    <t>ТТК-446</t>
  </si>
  <si>
    <t>Пюре "Янтарное"</t>
  </si>
  <si>
    <t>124/04</t>
  </si>
  <si>
    <t>ТТК-315</t>
  </si>
  <si>
    <t>Компот "Фруктовый" из кураги</t>
  </si>
  <si>
    <t>Фатхуллина Г.А.</t>
  </si>
  <si>
    <t>14 группа: сады № 10, 17, 20, 26, 49, 64, 72, 73, 75, 92, 96, 105, 120</t>
  </si>
  <si>
    <t>ТТК-62</t>
  </si>
  <si>
    <t>Салат из отварной свеклы</t>
  </si>
  <si>
    <t>170</t>
  </si>
  <si>
    <t>ТТК-129</t>
  </si>
  <si>
    <t>Салат "Здоровье"</t>
  </si>
  <si>
    <t>733/04</t>
  </si>
  <si>
    <t xml:space="preserve">Оладьи </t>
  </si>
  <si>
    <t>390./04</t>
  </si>
  <si>
    <t>Котлеты рыбные "Любительские"</t>
  </si>
  <si>
    <t>ТТК-341</t>
  </si>
  <si>
    <t>150/50</t>
  </si>
  <si>
    <t>142./04</t>
  </si>
  <si>
    <t xml:space="preserve">Суп картофельный с рыбными фрикадельками </t>
  </si>
  <si>
    <t>200/5</t>
  </si>
  <si>
    <t>150/5</t>
  </si>
  <si>
    <t>Десерт фруктовый "Яблоко"</t>
  </si>
  <si>
    <t>150/30</t>
  </si>
  <si>
    <t>146</t>
  </si>
  <si>
    <t>Н.В. Журавлева</t>
  </si>
  <si>
    <t>Г.Н. Мартынова</t>
  </si>
  <si>
    <t>131/04</t>
  </si>
  <si>
    <t>ТТК-324</t>
  </si>
  <si>
    <t xml:space="preserve">Котлеты "Крепыш" </t>
  </si>
  <si>
    <t>160./04</t>
  </si>
  <si>
    <t>Суп молочный с макаронными изделиями (вермишель)</t>
  </si>
  <si>
    <t>ТТК-377</t>
  </si>
  <si>
    <t>Компот вишневый</t>
  </si>
  <si>
    <t>705/04</t>
  </si>
  <si>
    <t>Напиток из плодов шиповника</t>
  </si>
  <si>
    <t xml:space="preserve">Зам. директора по производству и качеству                                                              </t>
  </si>
  <si>
    <t>Каша рисовая вязкая</t>
  </si>
  <si>
    <r>
      <t>Щи из свежей капусты с карт. с мясн. фрикад.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со сметаной </t>
    </r>
  </si>
  <si>
    <t>200/25/5</t>
  </si>
  <si>
    <t>150/25/5</t>
  </si>
  <si>
    <t>311/04</t>
  </si>
  <si>
    <t>Каша молочная "Геркулесовая" (жидкая) с маслом</t>
  </si>
  <si>
    <t>ТТК-425</t>
  </si>
  <si>
    <t>Суп "Гречишное зёрнышко"</t>
  </si>
  <si>
    <t>Суп молочный с ячневой крупой</t>
  </si>
  <si>
    <t xml:space="preserve">Суп из овощей на м/к бульоне со сметаной </t>
  </si>
  <si>
    <t>269./04</t>
  </si>
  <si>
    <t>Запеканка овощная с соусом сметанным</t>
  </si>
  <si>
    <t>71/04</t>
  </si>
  <si>
    <t xml:space="preserve">Винегрет овощной </t>
  </si>
  <si>
    <t>ТТК-450</t>
  </si>
  <si>
    <t>Батон с маслом с сыром</t>
  </si>
  <si>
    <t>20/5/5</t>
  </si>
  <si>
    <t>Каша пшеничная (вязкая) с сахаром</t>
  </si>
  <si>
    <t>78./04</t>
  </si>
  <si>
    <t>Салат "Зайка"</t>
  </si>
  <si>
    <t>Десерт фруктовый "Мандарин"</t>
  </si>
  <si>
    <t xml:space="preserve">     НЕДЕЛЬНОЕ МЕНЮ ДЛЯ ОБЩЕРАЗВИВАЮЩИХ ДЕТСКИХ САДОВ С 04 .02.19 г по 08 .02.19 г    </t>
  </si>
  <si>
    <t>ПОНЕДЕЛЬНИК 04 .02</t>
  </si>
  <si>
    <t>ВТОРНИК 05 .02</t>
  </si>
  <si>
    <t>СРЕДА 06 .02</t>
  </si>
  <si>
    <t>ЧЕТВЕРГ 07 .02</t>
  </si>
  <si>
    <t>ПЯТНИЦА 08 .02</t>
  </si>
  <si>
    <t>534/04</t>
  </si>
  <si>
    <t xml:space="preserve">Капуста тушеная </t>
  </si>
  <si>
    <t>ТТК-993</t>
  </si>
  <si>
    <t>Жаркое "По-деревенски"</t>
  </si>
  <si>
    <t>50/130</t>
  </si>
  <si>
    <t>ТТК- 967</t>
  </si>
  <si>
    <t>Пудинг из творога с бананами с соус сметанн "Сластена"</t>
  </si>
  <si>
    <t>100/30</t>
  </si>
  <si>
    <t>Простокваша</t>
  </si>
  <si>
    <t>ТТК-227</t>
  </si>
  <si>
    <t>Биточки "Рябушка"</t>
  </si>
  <si>
    <t xml:space="preserve">Шницель "Камский" </t>
  </si>
  <si>
    <t>39/10</t>
  </si>
  <si>
    <t>Салат из моркови с яблоками и курагой</t>
  </si>
  <si>
    <t>Молоко кипяченое с печеньем "К кофе"</t>
  </si>
  <si>
    <t>180/16</t>
  </si>
  <si>
    <t>ТТК-131</t>
  </si>
  <si>
    <t>Зразы "Школьные"</t>
  </si>
  <si>
    <t>630./96</t>
  </si>
  <si>
    <t>Чай с сахаром с молоком</t>
  </si>
  <si>
    <t>ТТК-180</t>
  </si>
  <si>
    <t>Каша молочная пшенная с яблоками (вязкая) с маслом</t>
  </si>
  <si>
    <t>Запеканка "Сладкоежка" со сгущенным молоком</t>
  </si>
  <si>
    <t>686./04</t>
  </si>
  <si>
    <t>Чай с сахаром с лимоном</t>
  </si>
  <si>
    <t>200/7</t>
  </si>
  <si>
    <t>150/7</t>
  </si>
  <si>
    <t>110</t>
  </si>
  <si>
    <t>165</t>
  </si>
  <si>
    <t>148</t>
  </si>
  <si>
    <t>,</t>
  </si>
  <si>
    <t>Ведущий инженер-технолог по производству</t>
  </si>
  <si>
    <t>Л.Р. Загидуллина</t>
  </si>
  <si>
    <t>ТТК-998</t>
  </si>
  <si>
    <r>
      <t xml:space="preserve">Фрикад. рыбо- крупяные из горбуши с соус. томатн </t>
    </r>
    <r>
      <rPr>
        <b/>
        <sz val="10"/>
        <rFont val="Times New Roman"/>
        <family val="1"/>
      </rPr>
      <t xml:space="preserve"> </t>
    </r>
  </si>
  <si>
    <t>155</t>
  </si>
  <si>
    <t xml:space="preserve">Рассольник "Ленинградский" со сметаной </t>
  </si>
  <si>
    <t>144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</si>
</sst>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3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2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53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54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vertical="top" wrapText="1"/>
    </xf>
    <xf numFmtId="2" fontId="10" fillId="0" borderId="12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2" xfId="53" applyNumberFormat="1" applyFont="1" applyBorder="1" applyAlignment="1">
      <alignment horizontal="center" vertical="center"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2" fontId="10" fillId="0" borderId="12" xfId="54" applyNumberFormat="1" applyFont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2" fontId="10" fillId="0" borderId="15" xfId="54" applyNumberFormat="1" applyFont="1" applyFill="1" applyBorder="1" applyAlignment="1">
      <alignment horizontal="center" vertical="center"/>
      <protection/>
    </xf>
    <xf numFmtId="2" fontId="10" fillId="0" borderId="15" xfId="53" applyNumberFormat="1" applyFont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18" xfId="0" applyFont="1" applyFill="1" applyBorder="1" applyAlignment="1">
      <alignment vertical="top" wrapText="1"/>
    </xf>
    <xf numFmtId="49" fontId="0" fillId="0" borderId="11" xfId="0" applyNumberFormat="1" applyBorder="1" applyAlignment="1">
      <alignment/>
    </xf>
    <xf numFmtId="49" fontId="10" fillId="0" borderId="19" xfId="0" applyNumberFormat="1" applyFont="1" applyFill="1" applyBorder="1" applyAlignment="1">
      <alignment horizontal="center" vertical="center" wrapText="1"/>
    </xf>
    <xf numFmtId="2" fontId="10" fillId="0" borderId="13" xfId="53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/>
    </xf>
    <xf numFmtId="2" fontId="10" fillId="0" borderId="12" xfId="55" applyNumberFormat="1" applyFont="1" applyFill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distributed"/>
    </xf>
    <xf numFmtId="49" fontId="9" fillId="34" borderId="12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9" fillId="4" borderId="12" xfId="0" applyFont="1" applyFill="1" applyBorder="1" applyAlignment="1">
      <alignment horizontal="center"/>
    </xf>
    <xf numFmtId="0" fontId="18" fillId="5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32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2" fontId="10" fillId="36" borderId="10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2" fontId="10" fillId="0" borderId="14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49" fontId="10" fillId="0" borderId="14" xfId="0" applyNumberFormat="1" applyFont="1" applyFill="1" applyBorder="1" applyAlignment="1">
      <alignment horizontal="center" vertical="center" wrapText="1"/>
    </xf>
    <xf numFmtId="2" fontId="10" fillId="0" borderId="19" xfId="53" applyNumberFormat="1" applyFont="1" applyFill="1" applyBorder="1" applyAlignment="1">
      <alignment horizontal="center" vertical="center"/>
      <protection/>
    </xf>
    <xf numFmtId="2" fontId="6" fillId="0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166</xdr:row>
      <xdr:rowOff>9525</xdr:rowOff>
    </xdr:from>
    <xdr:to>
      <xdr:col>7</xdr:col>
      <xdr:colOff>95250</xdr:colOff>
      <xdr:row>168</xdr:row>
      <xdr:rowOff>57150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38554" r="12048" b="73054"/>
        <a:stretch>
          <a:fillRect/>
        </a:stretch>
      </xdr:blipFill>
      <xdr:spPr>
        <a:xfrm>
          <a:off x="4457700" y="34556700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168</xdr:row>
      <xdr:rowOff>38100</xdr:rowOff>
    </xdr:from>
    <xdr:to>
      <xdr:col>7</xdr:col>
      <xdr:colOff>400050</xdr:colOff>
      <xdr:row>170</xdr:row>
      <xdr:rowOff>171450</xdr:rowOff>
    </xdr:to>
    <xdr:pic>
      <xdr:nvPicPr>
        <xdr:cNvPr id="2" name="Изображения 6"/>
        <xdr:cNvPicPr preferRelativeResize="1">
          <a:picLocks noChangeAspect="1"/>
        </xdr:cNvPicPr>
      </xdr:nvPicPr>
      <xdr:blipFill>
        <a:blip r:embed="rId2"/>
        <a:srcRect t="73057" r="18605" b="-1036"/>
        <a:stretch>
          <a:fillRect/>
        </a:stretch>
      </xdr:blipFill>
      <xdr:spPr>
        <a:xfrm>
          <a:off x="4505325" y="3496627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170</xdr:row>
      <xdr:rowOff>66675</xdr:rowOff>
    </xdr:from>
    <xdr:to>
      <xdr:col>7</xdr:col>
      <xdr:colOff>142875</xdr:colOff>
      <xdr:row>172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45860" b="31210"/>
        <a:stretch>
          <a:fillRect/>
        </a:stretch>
      </xdr:blipFill>
      <xdr:spPr>
        <a:xfrm>
          <a:off x="4371975" y="3537585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172</xdr:row>
      <xdr:rowOff>123825</xdr:rowOff>
    </xdr:from>
    <xdr:to>
      <xdr:col>7</xdr:col>
      <xdr:colOff>219075</xdr:colOff>
      <xdr:row>175</xdr:row>
      <xdr:rowOff>9525</xdr:rowOff>
    </xdr:to>
    <xdr:pic>
      <xdr:nvPicPr>
        <xdr:cNvPr id="4" name="Picture 266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333875" y="35814000"/>
          <a:ext cx="1133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3</xdr:row>
      <xdr:rowOff>57150</xdr:rowOff>
    </xdr:from>
    <xdr:to>
      <xdr:col>13</xdr:col>
      <xdr:colOff>400050</xdr:colOff>
      <xdr:row>4</xdr:row>
      <xdr:rowOff>171450</xdr:rowOff>
    </xdr:to>
    <xdr:pic>
      <xdr:nvPicPr>
        <xdr:cNvPr id="5" name="Picture 2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628650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4"/>
  <sheetViews>
    <sheetView tabSelected="1" zoomScale="110" zoomScaleNormal="110" zoomScalePageLayoutView="0" workbookViewId="0" topLeftCell="A1">
      <selection activeCell="H4" sqref="H4"/>
    </sheetView>
  </sheetViews>
  <sheetFormatPr defaultColWidth="9.00390625" defaultRowHeight="12.75"/>
  <cols>
    <col min="1" max="1" width="6.75390625" style="24" customWidth="1"/>
    <col min="2" max="2" width="26.625" style="18" customWidth="1"/>
    <col min="3" max="3" width="7.25390625" style="18" customWidth="1"/>
    <col min="4" max="4" width="6.75390625" style="18" customWidth="1"/>
    <col min="5" max="6" width="7.25390625" style="19" customWidth="1"/>
    <col min="7" max="9" width="7.00390625" style="18" customWidth="1"/>
    <col min="10" max="10" width="7.375" style="18" customWidth="1"/>
    <col min="11" max="11" width="6.875" style="18" customWidth="1"/>
    <col min="12" max="12" width="6.75390625" style="18" customWidth="1"/>
    <col min="13" max="13" width="8.125" style="18" customWidth="1"/>
    <col min="14" max="14" width="8.00390625" style="18" customWidth="1"/>
    <col min="15" max="18" width="5.625" style="0" hidden="1" customWidth="1"/>
    <col min="19" max="20" width="8.125" style="0" customWidth="1"/>
    <col min="21" max="28" width="5.625" style="0" hidden="1" customWidth="1"/>
  </cols>
  <sheetData>
    <row r="1" spans="1:29" s="16" customFormat="1" ht="15" customHeight="1">
      <c r="A1" s="24"/>
      <c r="B1" s="18"/>
      <c r="C1" s="18"/>
      <c r="D1" s="18"/>
      <c r="E1" s="19"/>
      <c r="F1" s="19"/>
      <c r="G1" s="18"/>
      <c r="H1" s="2"/>
      <c r="I1" s="30"/>
      <c r="J1" s="30"/>
      <c r="K1" s="30"/>
      <c r="L1" s="3"/>
      <c r="M1" s="3" t="s">
        <v>64</v>
      </c>
      <c r="N1" s="3"/>
      <c r="O1" s="48"/>
      <c r="P1" s="2"/>
      <c r="Q1"/>
      <c r="R1" s="3"/>
      <c r="S1" s="3"/>
      <c r="T1" s="3"/>
      <c r="U1" s="48"/>
      <c r="V1" s="2"/>
      <c r="W1" s="3"/>
      <c r="X1" s="77"/>
      <c r="Y1" s="77"/>
      <c r="Z1" s="77"/>
      <c r="AA1" s="77"/>
      <c r="AB1" s="77"/>
      <c r="AC1" s="77"/>
    </row>
    <row r="2" spans="1:29" s="16" customFormat="1" ht="15" customHeight="1">
      <c r="A2" s="100" t="s">
        <v>55</v>
      </c>
      <c r="B2" s="18"/>
      <c r="C2" s="18"/>
      <c r="D2" s="18"/>
      <c r="E2" s="19"/>
      <c r="F2" s="19"/>
      <c r="G2" s="18"/>
      <c r="H2" s="3"/>
      <c r="I2" s="3"/>
      <c r="J2" s="48"/>
      <c r="K2" s="2"/>
      <c r="L2" s="3"/>
      <c r="M2" s="3" t="s">
        <v>65</v>
      </c>
      <c r="N2" s="3"/>
      <c r="O2" s="48"/>
      <c r="P2" s="3"/>
      <c r="Q2"/>
      <c r="R2" s="3"/>
      <c r="S2" s="3"/>
      <c r="T2" s="3"/>
      <c r="U2" s="48"/>
      <c r="V2" s="3"/>
      <c r="W2" s="3"/>
      <c r="X2" s="77"/>
      <c r="Y2" s="77"/>
      <c r="Z2" s="77"/>
      <c r="AA2" s="77"/>
      <c r="AB2" s="77"/>
      <c r="AC2" s="77"/>
    </row>
    <row r="3" spans="1:29" s="16" customFormat="1" ht="15" customHeight="1">
      <c r="A3" s="100" t="s">
        <v>67</v>
      </c>
      <c r="B3" s="18"/>
      <c r="C3" s="18"/>
      <c r="D3" s="18"/>
      <c r="E3" s="19"/>
      <c r="F3" s="19"/>
      <c r="G3" s="18"/>
      <c r="H3" s="3"/>
      <c r="I3" s="3"/>
      <c r="J3" s="48"/>
      <c r="K3" s="3"/>
      <c r="L3" s="3"/>
      <c r="M3" s="4" t="s">
        <v>66</v>
      </c>
      <c r="N3" s="3"/>
      <c r="O3" s="48"/>
      <c r="P3" s="2"/>
      <c r="Q3"/>
      <c r="R3" s="4"/>
      <c r="S3" s="3"/>
      <c r="T3" s="3"/>
      <c r="U3" s="48"/>
      <c r="V3" s="2"/>
      <c r="W3" s="3"/>
      <c r="X3" s="77"/>
      <c r="Y3" s="77"/>
      <c r="Z3" s="77"/>
      <c r="AA3" s="77"/>
      <c r="AB3" s="77"/>
      <c r="AC3" s="77"/>
    </row>
    <row r="4" spans="1:29" s="16" customFormat="1" ht="15" customHeight="1">
      <c r="A4" s="100" t="s">
        <v>97</v>
      </c>
      <c r="B4" s="18"/>
      <c r="C4" s="18"/>
      <c r="D4" s="18"/>
      <c r="E4" s="19"/>
      <c r="F4" s="19"/>
      <c r="G4" s="18"/>
      <c r="H4" s="4"/>
      <c r="I4" s="3"/>
      <c r="J4" s="48"/>
      <c r="K4" s="2"/>
      <c r="L4" s="3"/>
      <c r="M4" s="188"/>
      <c r="N4" s="188"/>
      <c r="O4" s="3"/>
      <c r="P4" s="3"/>
      <c r="Q4"/>
      <c r="R4" s="3"/>
      <c r="S4" s="3" t="s">
        <v>96</v>
      </c>
      <c r="T4" s="3"/>
      <c r="U4" s="48"/>
      <c r="V4" s="2"/>
      <c r="W4" s="3"/>
      <c r="X4" s="77"/>
      <c r="Y4" s="77"/>
      <c r="Z4" s="77"/>
      <c r="AA4" s="77"/>
      <c r="AB4" s="77"/>
      <c r="AC4" s="77"/>
    </row>
    <row r="5" spans="1:22" s="16" customFormat="1" ht="15" customHeight="1">
      <c r="A5" s="100" t="s">
        <v>69</v>
      </c>
      <c r="B5" s="18"/>
      <c r="C5" s="18"/>
      <c r="D5" s="18"/>
      <c r="E5" s="19"/>
      <c r="F5" s="19"/>
      <c r="G5" s="18"/>
      <c r="H5" s="3"/>
      <c r="I5" s="3"/>
      <c r="J5" s="3"/>
      <c r="K5" s="3"/>
      <c r="L5" s="3"/>
      <c r="M5" s="33"/>
      <c r="N5" s="33"/>
      <c r="O5" s="77"/>
      <c r="P5" s="77"/>
      <c r="Q5" s="77"/>
      <c r="R5" s="77"/>
      <c r="S5" s="77"/>
      <c r="T5" s="77"/>
      <c r="U5" s="3"/>
      <c r="V5" s="3"/>
    </row>
    <row r="6" spans="1:17" s="16" customFormat="1" ht="15" customHeight="1">
      <c r="A6" s="100" t="s">
        <v>68</v>
      </c>
      <c r="B6" s="18"/>
      <c r="C6" s="18"/>
      <c r="D6" s="18"/>
      <c r="E6" s="19"/>
      <c r="F6" s="19"/>
      <c r="G6" s="18"/>
      <c r="H6" s="5"/>
      <c r="I6" s="20"/>
      <c r="J6" s="18"/>
      <c r="K6" s="18"/>
      <c r="L6" s="18"/>
      <c r="M6" s="18"/>
      <c r="N6" s="18"/>
      <c r="Q6" s="85"/>
    </row>
    <row r="7" spans="1:17" s="16" customFormat="1" ht="15" customHeight="1">
      <c r="A7" s="24"/>
      <c r="B7" s="18"/>
      <c r="C7" s="18"/>
      <c r="D7" s="18"/>
      <c r="E7" s="19"/>
      <c r="F7" s="19"/>
      <c r="G7" s="18"/>
      <c r="H7" s="85"/>
      <c r="I7" s="85"/>
      <c r="J7" s="85"/>
      <c r="K7" s="85"/>
      <c r="L7" s="85"/>
      <c r="M7" s="85" t="s">
        <v>43</v>
      </c>
      <c r="N7" s="85"/>
      <c r="Q7" s="85"/>
    </row>
    <row r="8" spans="1:24" s="86" customFormat="1" ht="15" customHeight="1">
      <c r="A8" s="183" t="s">
        <v>149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</row>
    <row r="9" spans="1:14" s="16" customFormat="1" ht="8.25" customHeight="1">
      <c r="A9" s="24"/>
      <c r="B9" s="2"/>
      <c r="C9" s="18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</row>
    <row r="10" spans="1:31" s="16" customFormat="1" ht="21" customHeight="1">
      <c r="A10" s="184" t="s">
        <v>24</v>
      </c>
      <c r="B10" s="186" t="s">
        <v>34</v>
      </c>
      <c r="C10" s="187" t="s">
        <v>35</v>
      </c>
      <c r="D10" s="187"/>
      <c r="E10" s="178" t="s">
        <v>0</v>
      </c>
      <c r="F10" s="178"/>
      <c r="G10" s="178" t="s">
        <v>36</v>
      </c>
      <c r="H10" s="178"/>
      <c r="I10" s="178"/>
      <c r="J10" s="178"/>
      <c r="K10" s="178"/>
      <c r="L10" s="178"/>
      <c r="M10" s="187" t="s">
        <v>37</v>
      </c>
      <c r="N10" s="187"/>
      <c r="O10" s="179" t="s">
        <v>38</v>
      </c>
      <c r="P10" s="179"/>
      <c r="Q10" s="179"/>
      <c r="R10" s="179"/>
      <c r="S10" s="179"/>
      <c r="T10" s="179"/>
      <c r="U10" s="180" t="s">
        <v>39</v>
      </c>
      <c r="V10" s="180"/>
      <c r="W10" s="180"/>
      <c r="X10" s="180"/>
      <c r="Z10" s="56"/>
      <c r="AA10" s="56"/>
      <c r="AB10" s="56"/>
      <c r="AC10" s="56"/>
      <c r="AD10" s="56"/>
      <c r="AE10" s="56"/>
    </row>
    <row r="11" spans="1:31" s="16" customFormat="1" ht="15" customHeight="1">
      <c r="A11" s="185"/>
      <c r="B11" s="186"/>
      <c r="C11" s="187"/>
      <c r="D11" s="187"/>
      <c r="E11" s="178"/>
      <c r="F11" s="178"/>
      <c r="G11" s="177" t="s">
        <v>1</v>
      </c>
      <c r="H11" s="177"/>
      <c r="I11" s="177" t="s">
        <v>2</v>
      </c>
      <c r="J11" s="177"/>
      <c r="K11" s="177" t="s">
        <v>3</v>
      </c>
      <c r="L11" s="177"/>
      <c r="M11" s="187"/>
      <c r="N11" s="187"/>
      <c r="O11" s="160" t="s">
        <v>63</v>
      </c>
      <c r="P11" s="160"/>
      <c r="Q11" s="160" t="s">
        <v>46</v>
      </c>
      <c r="R11" s="160"/>
      <c r="S11" s="160" t="s">
        <v>40</v>
      </c>
      <c r="T11" s="160"/>
      <c r="U11" s="160" t="s">
        <v>41</v>
      </c>
      <c r="V11" s="160"/>
      <c r="W11" s="160" t="s">
        <v>42</v>
      </c>
      <c r="X11" s="160"/>
      <c r="Z11" s="56"/>
      <c r="AA11" s="56"/>
      <c r="AB11" s="56"/>
      <c r="AC11" s="56"/>
      <c r="AD11" s="56"/>
      <c r="AE11" s="56"/>
    </row>
    <row r="12" spans="1:31" s="16" customFormat="1" ht="15" customHeight="1">
      <c r="A12" s="21" t="s">
        <v>24</v>
      </c>
      <c r="B12" s="88" t="s">
        <v>150</v>
      </c>
      <c r="C12" s="87" t="s">
        <v>21</v>
      </c>
      <c r="D12" s="87" t="s">
        <v>22</v>
      </c>
      <c r="E12" s="87" t="s">
        <v>21</v>
      </c>
      <c r="F12" s="87" t="s">
        <v>22</v>
      </c>
      <c r="G12" s="87" t="s">
        <v>21</v>
      </c>
      <c r="H12" s="87" t="s">
        <v>22</v>
      </c>
      <c r="I12" s="87" t="s">
        <v>21</v>
      </c>
      <c r="J12" s="87" t="s">
        <v>22</v>
      </c>
      <c r="K12" s="87" t="s">
        <v>21</v>
      </c>
      <c r="L12" s="87" t="s">
        <v>22</v>
      </c>
      <c r="M12" s="87" t="s">
        <v>21</v>
      </c>
      <c r="N12" s="87" t="s">
        <v>22</v>
      </c>
      <c r="O12" s="87" t="s">
        <v>21</v>
      </c>
      <c r="P12" s="87" t="s">
        <v>22</v>
      </c>
      <c r="Q12" s="87" t="s">
        <v>21</v>
      </c>
      <c r="R12" s="87" t="s">
        <v>22</v>
      </c>
      <c r="S12" s="87" t="s">
        <v>21</v>
      </c>
      <c r="T12" s="87" t="s">
        <v>22</v>
      </c>
      <c r="U12" s="87" t="s">
        <v>21</v>
      </c>
      <c r="V12" s="87" t="s">
        <v>22</v>
      </c>
      <c r="W12" s="87" t="s">
        <v>21</v>
      </c>
      <c r="X12" s="87" t="s">
        <v>22</v>
      </c>
      <c r="Z12" s="56"/>
      <c r="AA12" s="56"/>
      <c r="AB12" s="56"/>
      <c r="AC12" s="56"/>
      <c r="AD12" s="56"/>
      <c r="AE12" s="56"/>
    </row>
    <row r="13" spans="1:31" ht="15" customHeight="1">
      <c r="A13" s="22"/>
      <c r="B13" s="89" t="s">
        <v>4</v>
      </c>
      <c r="C13" s="90"/>
      <c r="D13" s="9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/>
      <c r="Q13" s="52"/>
      <c r="R13" s="52"/>
      <c r="S13" s="52"/>
      <c r="T13" s="52"/>
      <c r="U13" s="52"/>
      <c r="V13" s="52"/>
      <c r="W13" s="52"/>
      <c r="X13" s="52"/>
      <c r="Z13" s="53"/>
      <c r="AA13" s="53"/>
      <c r="AB13" s="53"/>
      <c r="AC13" s="53"/>
      <c r="AD13" s="53"/>
      <c r="AE13" s="53"/>
    </row>
    <row r="14" spans="1:30" s="1" customFormat="1" ht="14.25" customHeight="1">
      <c r="A14" s="119" t="s">
        <v>60</v>
      </c>
      <c r="B14" s="23" t="s">
        <v>143</v>
      </c>
      <c r="C14" s="43" t="s">
        <v>144</v>
      </c>
      <c r="D14" s="43" t="s">
        <v>144</v>
      </c>
      <c r="E14" s="28">
        <v>7.11</v>
      </c>
      <c r="F14" s="28">
        <v>7.11</v>
      </c>
      <c r="G14" s="28">
        <v>2.93</v>
      </c>
      <c r="H14" s="29">
        <v>2.93</v>
      </c>
      <c r="I14" s="28">
        <v>6.05</v>
      </c>
      <c r="J14" s="29">
        <v>6.05</v>
      </c>
      <c r="K14" s="28">
        <v>10.4</v>
      </c>
      <c r="L14" s="29">
        <v>10.4</v>
      </c>
      <c r="M14" s="28">
        <v>107.77</v>
      </c>
      <c r="N14" s="29">
        <v>107.77</v>
      </c>
      <c r="O14" s="29">
        <v>0.08</v>
      </c>
      <c r="P14" s="29">
        <f>O14*40/60</f>
        <v>0.05333333333333334</v>
      </c>
      <c r="Q14" s="29">
        <v>0.06</v>
      </c>
      <c r="R14" s="29">
        <f>Q14*40/60</f>
        <v>0.04</v>
      </c>
      <c r="S14" s="28">
        <v>0.14</v>
      </c>
      <c r="T14" s="29">
        <v>0.14</v>
      </c>
      <c r="U14" s="29">
        <v>70.8</v>
      </c>
      <c r="V14" s="29">
        <f>U14*40/60</f>
        <v>47.2</v>
      </c>
      <c r="W14" s="29">
        <v>0.81</v>
      </c>
      <c r="X14" s="74">
        <f>W14*40/60</f>
        <v>0.5400000000000001</v>
      </c>
      <c r="Y14" s="59"/>
      <c r="Z14" s="57"/>
      <c r="AA14" s="57"/>
      <c r="AB14" s="57"/>
      <c r="AC14" s="57"/>
      <c r="AD14" s="57"/>
    </row>
    <row r="15" spans="1:29" ht="25.5">
      <c r="A15" s="119" t="s">
        <v>28</v>
      </c>
      <c r="B15" s="23" t="s">
        <v>145</v>
      </c>
      <c r="C15" s="43" t="s">
        <v>5</v>
      </c>
      <c r="D15" s="43" t="s">
        <v>6</v>
      </c>
      <c r="E15" s="28">
        <v>5.2</v>
      </c>
      <c r="F15" s="28">
        <v>3.9</v>
      </c>
      <c r="G15" s="28">
        <v>5.26</v>
      </c>
      <c r="H15" s="28">
        <v>3.95</v>
      </c>
      <c r="I15" s="28">
        <v>5.26</v>
      </c>
      <c r="J15" s="29">
        <v>3.95</v>
      </c>
      <c r="K15" s="28">
        <v>38.31</v>
      </c>
      <c r="L15" s="29">
        <v>28.73</v>
      </c>
      <c r="M15" s="28">
        <v>221.55</v>
      </c>
      <c r="N15" s="29">
        <v>166.16</v>
      </c>
      <c r="O15" s="28">
        <f>P15*200/150</f>
        <v>0.12</v>
      </c>
      <c r="P15" s="40">
        <v>0.09</v>
      </c>
      <c r="Q15" s="28">
        <f>R15*200/150</f>
        <v>0.04</v>
      </c>
      <c r="R15" s="40">
        <v>0.03</v>
      </c>
      <c r="S15" s="40">
        <v>0</v>
      </c>
      <c r="T15" s="40">
        <v>0</v>
      </c>
      <c r="U15" s="28">
        <f>V15*200/150</f>
        <v>1.5466666666666664</v>
      </c>
      <c r="V15" s="40">
        <v>1.16</v>
      </c>
      <c r="W15" s="28">
        <f>X15*200/150</f>
        <v>0.72</v>
      </c>
      <c r="X15" s="142">
        <v>0.54</v>
      </c>
      <c r="Y15" s="54"/>
      <c r="Z15" s="53"/>
      <c r="AA15" s="53"/>
      <c r="AB15" s="54"/>
      <c r="AC15" s="53"/>
    </row>
    <row r="16" spans="1:31" ht="15" customHeight="1">
      <c r="A16" s="120" t="s">
        <v>48</v>
      </c>
      <c r="B16" s="64" t="s">
        <v>26</v>
      </c>
      <c r="C16" s="65" t="s">
        <v>5</v>
      </c>
      <c r="D16" s="65" t="s">
        <v>6</v>
      </c>
      <c r="E16" s="61">
        <v>1.96</v>
      </c>
      <c r="F16" s="61">
        <v>1.47</v>
      </c>
      <c r="G16" s="40">
        <v>0</v>
      </c>
      <c r="H16" s="44">
        <v>0</v>
      </c>
      <c r="I16" s="40">
        <v>0</v>
      </c>
      <c r="J16" s="44">
        <f>I16*150/200</f>
        <v>0</v>
      </c>
      <c r="K16" s="40">
        <v>30.6</v>
      </c>
      <c r="L16" s="44">
        <f>K16*150/200</f>
        <v>22.95</v>
      </c>
      <c r="M16" s="40">
        <v>118</v>
      </c>
      <c r="N16" s="44">
        <v>88.5</v>
      </c>
      <c r="O16" s="42">
        <v>0</v>
      </c>
      <c r="P16" s="44">
        <f>O16*150/200</f>
        <v>0</v>
      </c>
      <c r="Q16" s="42">
        <v>0</v>
      </c>
      <c r="R16" s="44">
        <f>Q16*150/200</f>
        <v>0</v>
      </c>
      <c r="S16" s="42">
        <v>0</v>
      </c>
      <c r="T16" s="44">
        <f>S16*150/200</f>
        <v>0</v>
      </c>
      <c r="U16" s="66">
        <f>V16*200/150</f>
        <v>0.2</v>
      </c>
      <c r="V16" s="68">
        <v>0.15</v>
      </c>
      <c r="W16" s="66">
        <f>X16*200/150</f>
        <v>0.02666666666666667</v>
      </c>
      <c r="X16" s="101">
        <v>0.02</v>
      </c>
      <c r="Y16" s="53"/>
      <c r="Z16" s="53"/>
      <c r="AA16" s="53"/>
      <c r="AB16" s="53"/>
      <c r="AC16" s="53"/>
      <c r="AD16" s="53"/>
      <c r="AE16" s="53"/>
    </row>
    <row r="17" spans="1:31" ht="15" customHeight="1">
      <c r="A17" s="22"/>
      <c r="B17" s="23" t="s">
        <v>7</v>
      </c>
      <c r="C17" s="43"/>
      <c r="D17" s="43"/>
      <c r="E17" s="17">
        <f>SUM(E14:E16)</f>
        <v>14.27</v>
      </c>
      <c r="F17" s="17">
        <f>SUM(F14:F16)</f>
        <v>12.48</v>
      </c>
      <c r="G17" s="17">
        <f aca="true" t="shared" si="0" ref="G17:T17">SUM(G14:G16)</f>
        <v>8.19</v>
      </c>
      <c r="H17" s="17">
        <f t="shared" si="0"/>
        <v>6.880000000000001</v>
      </c>
      <c r="I17" s="17">
        <f t="shared" si="0"/>
        <v>11.309999999999999</v>
      </c>
      <c r="J17" s="17">
        <f t="shared" si="0"/>
        <v>10</v>
      </c>
      <c r="K17" s="17">
        <f t="shared" si="0"/>
        <v>79.31</v>
      </c>
      <c r="L17" s="17">
        <f t="shared" si="0"/>
        <v>62.08</v>
      </c>
      <c r="M17" s="17">
        <f t="shared" si="0"/>
        <v>447.32</v>
      </c>
      <c r="N17" s="17">
        <f t="shared" si="0"/>
        <v>362.43</v>
      </c>
      <c r="O17" s="17">
        <f t="shared" si="0"/>
        <v>0.2</v>
      </c>
      <c r="P17" s="17">
        <f t="shared" si="0"/>
        <v>0.14333333333333334</v>
      </c>
      <c r="Q17" s="17">
        <f t="shared" si="0"/>
        <v>0.1</v>
      </c>
      <c r="R17" s="17">
        <f t="shared" si="0"/>
        <v>0.07</v>
      </c>
      <c r="S17" s="17">
        <f t="shared" si="0"/>
        <v>0.14</v>
      </c>
      <c r="T17" s="17">
        <f t="shared" si="0"/>
        <v>0.14</v>
      </c>
      <c r="U17" s="17">
        <f>SUM(U14:U16)</f>
        <v>72.54666666666667</v>
      </c>
      <c r="V17" s="17">
        <f>SUM(V14:V16)</f>
        <v>48.51</v>
      </c>
      <c r="W17" s="17">
        <f>SUM(W14:W16)</f>
        <v>1.5566666666666666</v>
      </c>
      <c r="X17" s="17">
        <f>SUM(X14:X16)</f>
        <v>1.1</v>
      </c>
      <c r="Y17" s="72">
        <f>SUM(Y14:Y16)</f>
        <v>0</v>
      </c>
      <c r="Z17" s="58"/>
      <c r="AA17" s="58"/>
      <c r="AB17" s="58"/>
      <c r="AC17" s="58"/>
      <c r="AD17" s="53"/>
      <c r="AE17" s="53"/>
    </row>
    <row r="18" spans="1:31" ht="15" customHeight="1">
      <c r="A18" s="22"/>
      <c r="B18" s="89" t="s">
        <v>8</v>
      </c>
      <c r="C18" s="43"/>
      <c r="D18" s="43"/>
      <c r="E18" s="28"/>
      <c r="F18" s="28"/>
      <c r="G18" s="28"/>
      <c r="H18" s="29"/>
      <c r="I18" s="29"/>
      <c r="J18" s="29"/>
      <c r="K18" s="29"/>
      <c r="L18" s="29"/>
      <c r="M18" s="29"/>
      <c r="N18" s="29"/>
      <c r="O18" s="41"/>
      <c r="P18" s="46"/>
      <c r="Q18" s="46"/>
      <c r="R18" s="46"/>
      <c r="S18" s="46"/>
      <c r="T18" s="46"/>
      <c r="U18" s="46"/>
      <c r="V18" s="46"/>
      <c r="W18" s="46"/>
      <c r="X18" s="73"/>
      <c r="Y18" s="54"/>
      <c r="Z18" s="53"/>
      <c r="AA18" s="53"/>
      <c r="AB18" s="53"/>
      <c r="AC18" s="53"/>
      <c r="AD18" s="53"/>
      <c r="AE18" s="53"/>
    </row>
    <row r="19" spans="1:31" s="1" customFormat="1" ht="15" customHeight="1">
      <c r="A19" s="120" t="s">
        <v>51</v>
      </c>
      <c r="B19" s="64" t="s">
        <v>54</v>
      </c>
      <c r="C19" s="65" t="s">
        <v>100</v>
      </c>
      <c r="D19" s="65" t="s">
        <v>100</v>
      </c>
      <c r="E19" s="61">
        <v>4.41</v>
      </c>
      <c r="F19" s="61">
        <v>4.41</v>
      </c>
      <c r="G19" s="66">
        <v>0</v>
      </c>
      <c r="H19" s="68">
        <v>0</v>
      </c>
      <c r="I19" s="66">
        <f>J19*180/150</f>
        <v>0</v>
      </c>
      <c r="J19" s="68">
        <v>0</v>
      </c>
      <c r="K19" s="66">
        <v>10.2</v>
      </c>
      <c r="L19" s="68">
        <v>10.2</v>
      </c>
      <c r="M19" s="66">
        <v>40.8</v>
      </c>
      <c r="N19" s="68">
        <v>40.8</v>
      </c>
      <c r="O19" s="66">
        <f>P19*180/150</f>
        <v>0</v>
      </c>
      <c r="P19" s="68">
        <v>0</v>
      </c>
      <c r="Q19" s="66">
        <f>R19*180/150</f>
        <v>0.024</v>
      </c>
      <c r="R19" s="68">
        <v>0.02</v>
      </c>
      <c r="S19" s="66">
        <v>3.4</v>
      </c>
      <c r="T19" s="68">
        <v>3.4</v>
      </c>
      <c r="U19" s="66">
        <f>V19*180/150</f>
        <v>9.996</v>
      </c>
      <c r="V19" s="68">
        <v>8.33</v>
      </c>
      <c r="W19" s="66">
        <f>X19*180/150</f>
        <v>0.252</v>
      </c>
      <c r="X19" s="101">
        <v>0.21</v>
      </c>
      <c r="Y19" s="57"/>
      <c r="Z19" s="57"/>
      <c r="AA19" s="57"/>
      <c r="AB19" s="57"/>
      <c r="AC19" s="57"/>
      <c r="AD19" s="57"/>
      <c r="AE19" s="57"/>
    </row>
    <row r="20" spans="1:31" ht="15" customHeight="1">
      <c r="A20" s="22"/>
      <c r="B20" s="23" t="s">
        <v>7</v>
      </c>
      <c r="C20" s="43"/>
      <c r="D20" s="43"/>
      <c r="E20" s="17">
        <f>SUM(E19)</f>
        <v>4.41</v>
      </c>
      <c r="F20" s="17">
        <f aca="true" t="shared" si="1" ref="F20:T20">SUM(F19)</f>
        <v>4.41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10.2</v>
      </c>
      <c r="L20" s="17">
        <f t="shared" si="1"/>
        <v>10.2</v>
      </c>
      <c r="M20" s="17">
        <f t="shared" si="1"/>
        <v>40.8</v>
      </c>
      <c r="N20" s="17">
        <f t="shared" si="1"/>
        <v>40.8</v>
      </c>
      <c r="O20" s="17">
        <f t="shared" si="1"/>
        <v>0</v>
      </c>
      <c r="P20" s="17">
        <f t="shared" si="1"/>
        <v>0</v>
      </c>
      <c r="Q20" s="17">
        <f t="shared" si="1"/>
        <v>0.024</v>
      </c>
      <c r="R20" s="17">
        <f t="shared" si="1"/>
        <v>0.02</v>
      </c>
      <c r="S20" s="17">
        <f t="shared" si="1"/>
        <v>3.4</v>
      </c>
      <c r="T20" s="17">
        <f t="shared" si="1"/>
        <v>3.4</v>
      </c>
      <c r="U20" s="17">
        <f>SUM(U19)</f>
        <v>9.996</v>
      </c>
      <c r="V20" s="17">
        <f>SUM(V19)</f>
        <v>8.33</v>
      </c>
      <c r="W20" s="17">
        <f>SUM(W19)</f>
        <v>0.252</v>
      </c>
      <c r="X20" s="17">
        <f>SUM(X19)</f>
        <v>0.21</v>
      </c>
      <c r="Y20" s="72">
        <f>SUM(Y19)</f>
        <v>0</v>
      </c>
      <c r="Z20" s="58"/>
      <c r="AA20" s="58"/>
      <c r="AB20" s="58"/>
      <c r="AC20" s="58"/>
      <c r="AD20" s="53"/>
      <c r="AE20" s="53"/>
    </row>
    <row r="21" spans="1:31" ht="15" customHeight="1">
      <c r="A21" s="22"/>
      <c r="B21" s="89" t="s">
        <v>9</v>
      </c>
      <c r="C21" s="43"/>
      <c r="D21" s="43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41"/>
      <c r="P21" s="46"/>
      <c r="Q21" s="46"/>
      <c r="R21" s="46"/>
      <c r="S21" s="46"/>
      <c r="T21" s="46"/>
      <c r="U21" s="46"/>
      <c r="V21" s="46"/>
      <c r="W21" s="46"/>
      <c r="X21" s="73"/>
      <c r="Y21" s="54"/>
      <c r="Z21" s="53"/>
      <c r="AA21" s="53"/>
      <c r="AB21" s="53"/>
      <c r="AC21" s="53"/>
      <c r="AD21" s="53"/>
      <c r="AE21" s="53"/>
    </row>
    <row r="22" spans="1:29" ht="15" customHeight="1">
      <c r="A22" s="60" t="s">
        <v>101</v>
      </c>
      <c r="B22" s="107" t="s">
        <v>102</v>
      </c>
      <c r="C22" s="65" t="s">
        <v>30</v>
      </c>
      <c r="D22" s="65" t="s">
        <v>87</v>
      </c>
      <c r="E22" s="61">
        <v>3.11</v>
      </c>
      <c r="F22" s="61">
        <v>2.59</v>
      </c>
      <c r="G22" s="61">
        <f>H22*60/50</f>
        <v>0.9</v>
      </c>
      <c r="H22" s="62">
        <v>0.75</v>
      </c>
      <c r="I22" s="61">
        <f>J22*60/50</f>
        <v>2.4</v>
      </c>
      <c r="J22" s="62">
        <v>2</v>
      </c>
      <c r="K22" s="61">
        <f>L22*60/50</f>
        <v>4.8</v>
      </c>
      <c r="L22" s="62">
        <v>4</v>
      </c>
      <c r="M22" s="61">
        <f>N22*60/50</f>
        <v>44.4</v>
      </c>
      <c r="N22" s="62">
        <v>37</v>
      </c>
      <c r="O22" s="62">
        <v>0.04</v>
      </c>
      <c r="P22" s="62">
        <f>O22*45/60</f>
        <v>0.030000000000000002</v>
      </c>
      <c r="Q22" s="62">
        <v>0.02</v>
      </c>
      <c r="R22" s="62">
        <f>Q22*45/60</f>
        <v>0.015000000000000001</v>
      </c>
      <c r="S22" s="61">
        <f>T22*60/50</f>
        <v>5.88</v>
      </c>
      <c r="T22" s="62">
        <v>4.9</v>
      </c>
      <c r="U22" s="62">
        <v>13.18</v>
      </c>
      <c r="V22" s="62">
        <f>U22*45/60</f>
        <v>9.885</v>
      </c>
      <c r="W22" s="62">
        <v>0.62</v>
      </c>
      <c r="X22" s="62">
        <f>W22*45/60</f>
        <v>0.46499999999999997</v>
      </c>
      <c r="Y22" s="53"/>
      <c r="Z22" s="53"/>
      <c r="AA22" s="53"/>
      <c r="AB22" s="53"/>
      <c r="AC22" s="53"/>
    </row>
    <row r="23" spans="1:31" s="7" customFormat="1" ht="25.5">
      <c r="A23" s="119" t="s">
        <v>118</v>
      </c>
      <c r="B23" s="25" t="s">
        <v>191</v>
      </c>
      <c r="C23" s="43" t="s">
        <v>84</v>
      </c>
      <c r="D23" s="43" t="s">
        <v>85</v>
      </c>
      <c r="E23" s="28">
        <v>6.76</v>
      </c>
      <c r="F23" s="28">
        <v>5.54</v>
      </c>
      <c r="G23" s="40">
        <v>1.9</v>
      </c>
      <c r="H23" s="40">
        <v>1.46</v>
      </c>
      <c r="I23" s="40">
        <v>4.35</v>
      </c>
      <c r="J23" s="40">
        <v>3.45</v>
      </c>
      <c r="K23" s="40">
        <v>10.31</v>
      </c>
      <c r="L23" s="40">
        <v>7.77</v>
      </c>
      <c r="M23" s="40">
        <v>88.02</v>
      </c>
      <c r="N23" s="40">
        <v>68.02</v>
      </c>
      <c r="O23" s="29">
        <v>0.1</v>
      </c>
      <c r="P23" s="40">
        <f>O23*163/213</f>
        <v>0.07652582159624413</v>
      </c>
      <c r="Q23" s="29">
        <v>0.05</v>
      </c>
      <c r="R23" s="40">
        <f>Q23*163/213</f>
        <v>0.038262910798122066</v>
      </c>
      <c r="S23" s="29">
        <v>9.85</v>
      </c>
      <c r="T23" s="40">
        <v>7.48</v>
      </c>
      <c r="U23" s="29">
        <v>32.89</v>
      </c>
      <c r="V23" s="40">
        <f>U23*163/213</f>
        <v>25.169342723004693</v>
      </c>
      <c r="W23" s="29">
        <v>1.07</v>
      </c>
      <c r="X23" s="40">
        <f>W23*163/213</f>
        <v>0.8188262910798122</v>
      </c>
      <c r="Z23" s="76"/>
      <c r="AA23" s="76"/>
      <c r="AB23" s="76"/>
      <c r="AC23" s="76"/>
      <c r="AD23" s="76"/>
      <c r="AE23" s="76"/>
    </row>
    <row r="24" spans="1:29" s="7" customFormat="1" ht="15" customHeight="1">
      <c r="A24" s="60" t="s">
        <v>164</v>
      </c>
      <c r="B24" s="64" t="s">
        <v>165</v>
      </c>
      <c r="C24" s="65" t="s">
        <v>10</v>
      </c>
      <c r="D24" s="65" t="s">
        <v>10</v>
      </c>
      <c r="E24" s="61">
        <v>13.27</v>
      </c>
      <c r="F24" s="61">
        <v>13.27</v>
      </c>
      <c r="G24" s="62">
        <v>9.26</v>
      </c>
      <c r="H24" s="62">
        <v>9.26</v>
      </c>
      <c r="I24" s="62">
        <v>8.04</v>
      </c>
      <c r="J24" s="62">
        <v>8.04</v>
      </c>
      <c r="K24" s="62">
        <v>1.27</v>
      </c>
      <c r="L24" s="62">
        <v>1.27</v>
      </c>
      <c r="M24" s="62">
        <v>175.08</v>
      </c>
      <c r="N24" s="62">
        <v>175.08</v>
      </c>
      <c r="O24" s="62">
        <v>0.06</v>
      </c>
      <c r="P24" s="62">
        <v>0.06</v>
      </c>
      <c r="Q24" s="62">
        <v>0.11</v>
      </c>
      <c r="R24" s="62">
        <v>0.11</v>
      </c>
      <c r="S24" s="62">
        <v>0.5</v>
      </c>
      <c r="T24" s="62">
        <v>0.5</v>
      </c>
      <c r="U24" s="62">
        <v>14.79</v>
      </c>
      <c r="V24" s="62">
        <v>14.79</v>
      </c>
      <c r="W24" s="62">
        <v>0.27</v>
      </c>
      <c r="X24" s="62">
        <v>0.27</v>
      </c>
      <c r="Y24" s="150"/>
      <c r="Z24" s="76"/>
      <c r="AA24" s="76"/>
      <c r="AB24" s="76"/>
      <c r="AC24" s="76"/>
    </row>
    <row r="25" spans="1:29" ht="15.75" customHeight="1">
      <c r="A25" s="119" t="s">
        <v>155</v>
      </c>
      <c r="B25" s="23" t="s">
        <v>156</v>
      </c>
      <c r="C25" s="43" t="s">
        <v>6</v>
      </c>
      <c r="D25" s="43" t="s">
        <v>72</v>
      </c>
      <c r="E25" s="28">
        <v>9.58</v>
      </c>
      <c r="F25" s="28">
        <v>8.3</v>
      </c>
      <c r="G25" s="29">
        <v>3.75</v>
      </c>
      <c r="H25" s="29">
        <f>G25*130/150</f>
        <v>3.25</v>
      </c>
      <c r="I25" s="29">
        <v>6.92</v>
      </c>
      <c r="J25" s="29">
        <f>I25*130/150</f>
        <v>5.997333333333334</v>
      </c>
      <c r="K25" s="29">
        <v>16.15</v>
      </c>
      <c r="L25" s="29">
        <f>K25*130/150</f>
        <v>13.996666666666666</v>
      </c>
      <c r="M25" s="29">
        <v>141.3</v>
      </c>
      <c r="N25" s="29">
        <f>M25*130/150</f>
        <v>122.46</v>
      </c>
      <c r="O25" s="40"/>
      <c r="P25" s="29"/>
      <c r="Q25" s="40"/>
      <c r="R25" s="29"/>
      <c r="S25" s="29">
        <v>24.55</v>
      </c>
      <c r="T25" s="29">
        <f>S25*130/150</f>
        <v>21.276666666666667</v>
      </c>
      <c r="U25" s="40">
        <v>21.3</v>
      </c>
      <c r="V25" s="29">
        <f>U25*50/75</f>
        <v>14.2</v>
      </c>
      <c r="W25" s="40">
        <v>0.09</v>
      </c>
      <c r="X25" s="29">
        <f>W25*50/75</f>
        <v>0.06</v>
      </c>
      <c r="Z25" s="53"/>
      <c r="AA25" s="53"/>
      <c r="AB25" s="53"/>
      <c r="AC25" s="53"/>
    </row>
    <row r="26" spans="1:31" ht="27" customHeight="1">
      <c r="A26" s="121" t="s">
        <v>90</v>
      </c>
      <c r="B26" s="107" t="s">
        <v>83</v>
      </c>
      <c r="C26" s="103">
        <v>200</v>
      </c>
      <c r="D26" s="103">
        <v>150</v>
      </c>
      <c r="E26" s="61">
        <v>1.64</v>
      </c>
      <c r="F26" s="61">
        <v>1.23</v>
      </c>
      <c r="G26" s="61">
        <v>0.6</v>
      </c>
      <c r="H26" s="62">
        <f>G26*150/200</f>
        <v>0.45</v>
      </c>
      <c r="I26" s="61">
        <v>0</v>
      </c>
      <c r="J26" s="62">
        <f>I26*150/200</f>
        <v>0</v>
      </c>
      <c r="K26" s="61">
        <v>31.4</v>
      </c>
      <c r="L26" s="62">
        <f>K26*150/200</f>
        <v>23.55</v>
      </c>
      <c r="M26" s="61">
        <v>124</v>
      </c>
      <c r="N26" s="62">
        <f>M26*150/200</f>
        <v>93</v>
      </c>
      <c r="O26" s="62">
        <v>0.02</v>
      </c>
      <c r="P26" s="62">
        <f>O26*150/200</f>
        <v>0.015</v>
      </c>
      <c r="Q26" s="62">
        <v>0.03</v>
      </c>
      <c r="R26" s="62">
        <f>Q26*150/200</f>
        <v>0.0225</v>
      </c>
      <c r="S26" s="62">
        <v>0.45</v>
      </c>
      <c r="T26" s="62">
        <f>S26*150/200</f>
        <v>0.3375</v>
      </c>
      <c r="U26" s="62">
        <v>12.3</v>
      </c>
      <c r="V26" s="62">
        <f>U26*150/200</f>
        <v>9.225</v>
      </c>
      <c r="W26" s="70">
        <v>2</v>
      </c>
      <c r="X26" s="81">
        <f>W26*150/200</f>
        <v>1.5</v>
      </c>
      <c r="Y26" s="53"/>
      <c r="Z26" s="53"/>
      <c r="AA26" s="53"/>
      <c r="AB26" s="53"/>
      <c r="AC26" s="53"/>
      <c r="AD26" s="53"/>
      <c r="AE26" s="53"/>
    </row>
    <row r="27" spans="1:31" s="16" customFormat="1" ht="15" customHeight="1">
      <c r="A27" s="119"/>
      <c r="B27" s="23" t="s">
        <v>11</v>
      </c>
      <c r="C27" s="43" t="s">
        <v>14</v>
      </c>
      <c r="D27" s="43" t="s">
        <v>14</v>
      </c>
      <c r="E27" s="28">
        <v>1.22</v>
      </c>
      <c r="F27" s="28">
        <v>1.22</v>
      </c>
      <c r="G27" s="28">
        <v>1.6</v>
      </c>
      <c r="H27" s="28">
        <v>1.6</v>
      </c>
      <c r="I27" s="28">
        <v>0.4</v>
      </c>
      <c r="J27" s="28">
        <v>0.4</v>
      </c>
      <c r="K27" s="28">
        <v>10</v>
      </c>
      <c r="L27" s="28">
        <v>10</v>
      </c>
      <c r="M27" s="29">
        <v>54</v>
      </c>
      <c r="N27" s="29">
        <v>54</v>
      </c>
      <c r="O27" s="42">
        <v>0.04</v>
      </c>
      <c r="P27" s="47">
        <v>0.04</v>
      </c>
      <c r="Q27" s="42">
        <v>0.02</v>
      </c>
      <c r="R27" s="47">
        <v>0.02</v>
      </c>
      <c r="S27" s="42">
        <v>0</v>
      </c>
      <c r="T27" s="47">
        <v>0</v>
      </c>
      <c r="U27" s="42">
        <v>7.4</v>
      </c>
      <c r="V27" s="47">
        <v>7.4</v>
      </c>
      <c r="W27" s="42">
        <v>0.56</v>
      </c>
      <c r="X27" s="47">
        <v>0.56</v>
      </c>
      <c r="Y27" s="56"/>
      <c r="Z27" s="56"/>
      <c r="AA27" s="56"/>
      <c r="AB27" s="56"/>
      <c r="AC27" s="56"/>
      <c r="AD27" s="56"/>
      <c r="AE27" s="56"/>
    </row>
    <row r="28" spans="1:31" ht="15" customHeight="1">
      <c r="A28" s="119"/>
      <c r="B28" s="23" t="s">
        <v>47</v>
      </c>
      <c r="C28" s="43" t="s">
        <v>73</v>
      </c>
      <c r="D28" s="43" t="s">
        <v>74</v>
      </c>
      <c r="E28" s="28">
        <v>2.3</v>
      </c>
      <c r="F28" s="28">
        <v>2.01</v>
      </c>
      <c r="G28" s="28">
        <v>3.25</v>
      </c>
      <c r="H28" s="29">
        <v>2.84</v>
      </c>
      <c r="I28" s="29">
        <v>0.46</v>
      </c>
      <c r="J28" s="29">
        <f>I28*40.6/46</f>
        <v>0.406</v>
      </c>
      <c r="K28" s="29">
        <v>20.88</v>
      </c>
      <c r="L28" s="29">
        <v>18.27</v>
      </c>
      <c r="M28" s="29">
        <v>102.08</v>
      </c>
      <c r="N28" s="29">
        <v>89.32</v>
      </c>
      <c r="O28" s="40">
        <v>0.06</v>
      </c>
      <c r="P28" s="44">
        <v>0.04</v>
      </c>
      <c r="Q28" s="40">
        <v>0.04</v>
      </c>
      <c r="R28" s="44">
        <v>0.03</v>
      </c>
      <c r="S28" s="40">
        <v>0</v>
      </c>
      <c r="T28" s="29">
        <f>S28*40.6/46</f>
        <v>0</v>
      </c>
      <c r="U28" s="42">
        <v>17</v>
      </c>
      <c r="V28" s="47">
        <v>13.6</v>
      </c>
      <c r="W28" s="42">
        <v>1.15</v>
      </c>
      <c r="X28" s="47">
        <v>0.92</v>
      </c>
      <c r="Y28" s="53"/>
      <c r="Z28" s="53"/>
      <c r="AA28" s="53"/>
      <c r="AB28" s="53"/>
      <c r="AC28" s="53"/>
      <c r="AD28" s="53"/>
      <c r="AE28" s="53"/>
    </row>
    <row r="29" spans="1:31" ht="15" customHeight="1">
      <c r="A29" s="22"/>
      <c r="B29" s="23" t="s">
        <v>7</v>
      </c>
      <c r="C29" s="43"/>
      <c r="D29" s="43"/>
      <c r="E29" s="17">
        <f>SUM(E22:E28)</f>
        <v>37.879999999999995</v>
      </c>
      <c r="F29" s="17">
        <f aca="true" t="shared" si="2" ref="F29:R29">SUM(F22:F28)</f>
        <v>34.16</v>
      </c>
      <c r="G29" s="17">
        <f t="shared" si="2"/>
        <v>21.26</v>
      </c>
      <c r="H29" s="17">
        <f t="shared" si="2"/>
        <v>19.61</v>
      </c>
      <c r="I29" s="17">
        <f t="shared" si="2"/>
        <v>22.57</v>
      </c>
      <c r="J29" s="17">
        <f t="shared" si="2"/>
        <v>20.29333333333333</v>
      </c>
      <c r="K29" s="17">
        <f t="shared" si="2"/>
        <v>94.81</v>
      </c>
      <c r="L29" s="17">
        <f t="shared" si="2"/>
        <v>78.85666666666667</v>
      </c>
      <c r="M29" s="17">
        <f>SUM(M22:M28)-100</f>
        <v>628.88</v>
      </c>
      <c r="N29" s="17">
        <f>SUM(N22:N28)-100</f>
        <v>538.8799999999999</v>
      </c>
      <c r="O29" s="17">
        <f t="shared" si="2"/>
        <v>0.32</v>
      </c>
      <c r="P29" s="17">
        <f t="shared" si="2"/>
        <v>0.26152582159624416</v>
      </c>
      <c r="Q29" s="17">
        <f t="shared" si="2"/>
        <v>0.26999999999999996</v>
      </c>
      <c r="R29" s="17">
        <f t="shared" si="2"/>
        <v>0.23576291079812203</v>
      </c>
      <c r="S29" s="17">
        <f>SUM(S22:S28)-10</f>
        <v>31.230000000000004</v>
      </c>
      <c r="T29" s="17">
        <f>SUM(T22:T28)-10</f>
        <v>24.494166666666665</v>
      </c>
      <c r="U29" s="17">
        <f>SUM(U22:U28)</f>
        <v>118.86</v>
      </c>
      <c r="V29" s="17">
        <f>SUM(V22:V28)</f>
        <v>94.26934272300468</v>
      </c>
      <c r="W29" s="17">
        <f>SUM(W22:W28)</f>
        <v>5.76</v>
      </c>
      <c r="X29" s="17">
        <f>SUM(X22:X28)</f>
        <v>4.593826291079813</v>
      </c>
      <c r="Y29" s="63"/>
      <c r="Z29" s="58"/>
      <c r="AA29" s="58"/>
      <c r="AB29" s="58"/>
      <c r="AC29" s="58"/>
      <c r="AD29" s="53"/>
      <c r="AE29" s="53"/>
    </row>
    <row r="30" spans="1:31" ht="15" customHeight="1">
      <c r="A30" s="22"/>
      <c r="B30" s="89" t="s">
        <v>12</v>
      </c>
      <c r="C30" s="43"/>
      <c r="D30" s="43"/>
      <c r="E30" s="28"/>
      <c r="F30" s="28"/>
      <c r="G30" s="28"/>
      <c r="H30" s="29"/>
      <c r="I30" s="29"/>
      <c r="J30" s="29"/>
      <c r="K30" s="29"/>
      <c r="L30" s="29"/>
      <c r="M30" s="29"/>
      <c r="N30" s="29"/>
      <c r="O30" s="41"/>
      <c r="P30" s="46"/>
      <c r="Q30" s="46"/>
      <c r="R30" s="46"/>
      <c r="S30" s="46"/>
      <c r="T30" s="46"/>
      <c r="U30" s="46"/>
      <c r="V30" s="46"/>
      <c r="W30" s="46"/>
      <c r="X30" s="73"/>
      <c r="Y30" s="54"/>
      <c r="Z30" s="53"/>
      <c r="AA30" s="53"/>
      <c r="AB30" s="53"/>
      <c r="AC30" s="53"/>
      <c r="AD30" s="53"/>
      <c r="AE30" s="53"/>
    </row>
    <row r="31" spans="1:30" ht="26.25" customHeight="1">
      <c r="A31" s="119" t="s">
        <v>23</v>
      </c>
      <c r="B31" s="23" t="s">
        <v>169</v>
      </c>
      <c r="C31" s="43" t="s">
        <v>170</v>
      </c>
      <c r="D31" s="43" t="s">
        <v>170</v>
      </c>
      <c r="E31" s="28">
        <v>11.64</v>
      </c>
      <c r="F31" s="28">
        <v>11.64</v>
      </c>
      <c r="G31" s="131">
        <v>6.75</v>
      </c>
      <c r="H31" s="29">
        <v>6.75</v>
      </c>
      <c r="I31" s="131">
        <v>7.74</v>
      </c>
      <c r="J31" s="29">
        <v>7.74</v>
      </c>
      <c r="K31" s="131">
        <v>20.25</v>
      </c>
      <c r="L31" s="29">
        <v>20.25</v>
      </c>
      <c r="M31" s="131">
        <v>183.78</v>
      </c>
      <c r="N31" s="29">
        <v>183.78</v>
      </c>
      <c r="O31" s="132">
        <v>0.1</v>
      </c>
      <c r="P31" s="84">
        <f>O31*215/230</f>
        <v>0.09347826086956522</v>
      </c>
      <c r="Q31" s="132">
        <v>0.29</v>
      </c>
      <c r="R31" s="84">
        <f>Q31*215/230</f>
        <v>0.2710869565217391</v>
      </c>
      <c r="S31" s="131">
        <v>2.46</v>
      </c>
      <c r="T31" s="29">
        <v>2.46</v>
      </c>
      <c r="U31" s="28">
        <v>275.74</v>
      </c>
      <c r="V31" s="29">
        <v>275.74</v>
      </c>
      <c r="W31" s="28">
        <v>0.23</v>
      </c>
      <c r="X31" s="74">
        <v>0.23</v>
      </c>
      <c r="Y31" s="59"/>
      <c r="Z31" s="57"/>
      <c r="AA31" s="57"/>
      <c r="AB31" s="57"/>
      <c r="AC31" s="57"/>
      <c r="AD31" s="1"/>
    </row>
    <row r="32" spans="1:32" ht="15" customHeight="1">
      <c r="A32" s="60"/>
      <c r="B32" s="64" t="s">
        <v>7</v>
      </c>
      <c r="C32" s="109"/>
      <c r="D32" s="109"/>
      <c r="E32" s="114">
        <f>SUM(E31)</f>
        <v>11.64</v>
      </c>
      <c r="F32" s="114">
        <f aca="true" t="shared" si="3" ref="F32:T32">SUM(F31)</f>
        <v>11.64</v>
      </c>
      <c r="G32" s="114">
        <f t="shared" si="3"/>
        <v>6.75</v>
      </c>
      <c r="H32" s="114">
        <f t="shared" si="3"/>
        <v>6.75</v>
      </c>
      <c r="I32" s="114">
        <f t="shared" si="3"/>
        <v>7.74</v>
      </c>
      <c r="J32" s="114">
        <f t="shared" si="3"/>
        <v>7.74</v>
      </c>
      <c r="K32" s="114">
        <f t="shared" si="3"/>
        <v>20.25</v>
      </c>
      <c r="L32" s="114">
        <f t="shared" si="3"/>
        <v>20.25</v>
      </c>
      <c r="M32" s="114">
        <f t="shared" si="3"/>
        <v>183.78</v>
      </c>
      <c r="N32" s="114">
        <f t="shared" si="3"/>
        <v>183.78</v>
      </c>
      <c r="O32" s="114">
        <f t="shared" si="3"/>
        <v>0.1</v>
      </c>
      <c r="P32" s="114">
        <f t="shared" si="3"/>
        <v>0.09347826086956522</v>
      </c>
      <c r="Q32" s="114">
        <f t="shared" si="3"/>
        <v>0.29</v>
      </c>
      <c r="R32" s="114">
        <f t="shared" si="3"/>
        <v>0.2710869565217391</v>
      </c>
      <c r="S32" s="114">
        <f t="shared" si="3"/>
        <v>2.46</v>
      </c>
      <c r="T32" s="114">
        <f t="shared" si="3"/>
        <v>2.46</v>
      </c>
      <c r="U32" s="79">
        <f>SUM(U31:U31)</f>
        <v>275.74</v>
      </c>
      <c r="V32" s="79">
        <f>SUM(V31:V31)</f>
        <v>275.74</v>
      </c>
      <c r="W32" s="79">
        <f>SUM(W31:W31)</f>
        <v>0.23</v>
      </c>
      <c r="X32" s="115">
        <f>SUM(X31:X31)</f>
        <v>0.23</v>
      </c>
      <c r="Y32" s="58"/>
      <c r="Z32" s="58"/>
      <c r="AA32" s="58"/>
      <c r="AB32" s="58"/>
      <c r="AC32" s="58"/>
      <c r="AD32" s="53"/>
      <c r="AE32" s="53"/>
      <c r="AF32" s="53"/>
    </row>
    <row r="33" spans="1:31" ht="15" customHeight="1">
      <c r="A33" s="22"/>
      <c r="B33" s="89" t="s">
        <v>13</v>
      </c>
      <c r="C33" s="43"/>
      <c r="D33" s="43"/>
      <c r="E33" s="28"/>
      <c r="F33" s="28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74"/>
      <c r="Y33" s="59"/>
      <c r="Z33" s="57"/>
      <c r="AA33" s="57"/>
      <c r="AB33" s="57"/>
      <c r="AC33" s="57"/>
      <c r="AD33" s="57"/>
      <c r="AE33" s="53"/>
    </row>
    <row r="34" spans="1:33" ht="15" customHeight="1">
      <c r="A34" s="120"/>
      <c r="B34" s="64" t="s">
        <v>113</v>
      </c>
      <c r="C34" s="65" t="s">
        <v>115</v>
      </c>
      <c r="D34" s="65" t="s">
        <v>192</v>
      </c>
      <c r="E34" s="61">
        <v>8.68</v>
      </c>
      <c r="F34" s="61">
        <v>8.56</v>
      </c>
      <c r="G34" s="61">
        <v>0.57</v>
      </c>
      <c r="H34" s="62">
        <f>G34*144/146</f>
        <v>0.5621917808219178</v>
      </c>
      <c r="I34" s="61">
        <v>0</v>
      </c>
      <c r="J34" s="62">
        <v>0</v>
      </c>
      <c r="K34" s="61">
        <v>14.13</v>
      </c>
      <c r="L34" s="62">
        <f>K34*144/146</f>
        <v>13.936438356164384</v>
      </c>
      <c r="M34" s="61">
        <v>54.76</v>
      </c>
      <c r="N34" s="62">
        <f>M34*144/146</f>
        <v>54.00986301369863</v>
      </c>
      <c r="O34" s="61">
        <v>0.02</v>
      </c>
      <c r="P34" s="62">
        <v>0.02</v>
      </c>
      <c r="Q34" s="61">
        <f>R34*160/150</f>
        <v>0.05333333333333334</v>
      </c>
      <c r="R34" s="62">
        <v>0.05</v>
      </c>
      <c r="S34" s="61">
        <v>23.05</v>
      </c>
      <c r="T34" s="62">
        <f>S34*144/146</f>
        <v>22.734246575342468</v>
      </c>
      <c r="U34" s="61">
        <v>24</v>
      </c>
      <c r="V34" s="62">
        <v>24</v>
      </c>
      <c r="W34" s="61">
        <v>3.3</v>
      </c>
      <c r="X34" s="70">
        <v>3.3</v>
      </c>
      <c r="Y34" s="54"/>
      <c r="Z34" s="57"/>
      <c r="AA34" s="57"/>
      <c r="AB34" s="57"/>
      <c r="AC34" s="53"/>
      <c r="AD34" s="53"/>
      <c r="AE34" s="53"/>
      <c r="AF34" s="53"/>
      <c r="AG34" s="53"/>
    </row>
    <row r="35" spans="1:33" s="7" customFormat="1" ht="27" customHeight="1">
      <c r="A35" s="123" t="s">
        <v>105</v>
      </c>
      <c r="B35" s="23" t="s">
        <v>106</v>
      </c>
      <c r="C35" s="43" t="s">
        <v>10</v>
      </c>
      <c r="D35" s="43" t="s">
        <v>10</v>
      </c>
      <c r="E35" s="28">
        <v>18.5</v>
      </c>
      <c r="F35" s="28">
        <v>18.5</v>
      </c>
      <c r="G35" s="28">
        <v>9.9</v>
      </c>
      <c r="H35" s="29">
        <v>9.9</v>
      </c>
      <c r="I35" s="29">
        <v>4.2</v>
      </c>
      <c r="J35" s="29">
        <v>4.2</v>
      </c>
      <c r="K35" s="29">
        <v>4.65</v>
      </c>
      <c r="L35" s="29">
        <v>4.65</v>
      </c>
      <c r="M35" s="29">
        <v>94.9</v>
      </c>
      <c r="N35" s="29">
        <v>94.9</v>
      </c>
      <c r="O35" s="29">
        <v>0.09</v>
      </c>
      <c r="P35" s="29">
        <v>0.09</v>
      </c>
      <c r="Q35" s="29">
        <v>0.1</v>
      </c>
      <c r="R35" s="29">
        <v>0.1</v>
      </c>
      <c r="S35" s="29">
        <v>2.1</v>
      </c>
      <c r="T35" s="29">
        <v>2.1</v>
      </c>
      <c r="U35" s="29">
        <v>23.97</v>
      </c>
      <c r="V35" s="29">
        <v>23.97</v>
      </c>
      <c r="W35" s="29">
        <v>0.61</v>
      </c>
      <c r="X35" s="29">
        <v>0.61</v>
      </c>
      <c r="Y35" s="82"/>
      <c r="Z35" s="82"/>
      <c r="AA35" s="82"/>
      <c r="AB35" s="82"/>
      <c r="AC35" s="82"/>
      <c r="AD35" s="76"/>
      <c r="AE35" s="76"/>
      <c r="AF35" s="76"/>
      <c r="AG35" s="76"/>
    </row>
    <row r="36" spans="1:29" ht="15.75" customHeight="1">
      <c r="A36" s="119" t="s">
        <v>28</v>
      </c>
      <c r="B36" s="25" t="s">
        <v>128</v>
      </c>
      <c r="C36" s="43" t="s">
        <v>72</v>
      </c>
      <c r="D36" s="43" t="s">
        <v>72</v>
      </c>
      <c r="E36" s="28">
        <v>3.57</v>
      </c>
      <c r="F36" s="28">
        <v>3.57</v>
      </c>
      <c r="G36" s="28">
        <v>1.95</v>
      </c>
      <c r="H36" s="28">
        <f>G36*130/130</f>
        <v>1.95</v>
      </c>
      <c r="I36" s="28">
        <v>5.07</v>
      </c>
      <c r="J36" s="28">
        <f>I36*130/130</f>
        <v>5.07</v>
      </c>
      <c r="K36" s="28">
        <v>19.89</v>
      </c>
      <c r="L36" s="28">
        <f>K36*130/130</f>
        <v>19.89</v>
      </c>
      <c r="M36" s="28">
        <v>132.99</v>
      </c>
      <c r="N36" s="28">
        <f>M36*130/130</f>
        <v>132.99</v>
      </c>
      <c r="O36" s="28">
        <f>P36*1.3</f>
        <v>0.24700000000000003</v>
      </c>
      <c r="P36" s="29">
        <v>0.19</v>
      </c>
      <c r="Q36" s="28">
        <f>R36*1.3</f>
        <v>0.052000000000000005</v>
      </c>
      <c r="R36" s="29">
        <v>0.04</v>
      </c>
      <c r="S36" s="28">
        <f>T36*150/100</f>
        <v>0</v>
      </c>
      <c r="T36" s="29">
        <v>0</v>
      </c>
      <c r="U36" s="28">
        <f>V36*1.3</f>
        <v>31.628999999999998</v>
      </c>
      <c r="V36" s="29">
        <v>24.33</v>
      </c>
      <c r="W36" s="28">
        <f>X36*1.3</f>
        <v>1.222</v>
      </c>
      <c r="X36" s="29">
        <v>0.94</v>
      </c>
      <c r="Z36" s="57"/>
      <c r="AA36" s="57"/>
      <c r="AB36" s="57"/>
      <c r="AC36" s="53"/>
    </row>
    <row r="37" spans="1:31" ht="15" customHeight="1">
      <c r="A37" s="120" t="s">
        <v>78</v>
      </c>
      <c r="B37" s="67" t="s">
        <v>79</v>
      </c>
      <c r="C37" s="65" t="s">
        <v>5</v>
      </c>
      <c r="D37" s="65" t="s">
        <v>6</v>
      </c>
      <c r="E37" s="61">
        <v>0.58</v>
      </c>
      <c r="F37" s="61">
        <v>0.43</v>
      </c>
      <c r="G37" s="61">
        <v>0.18</v>
      </c>
      <c r="H37" s="62">
        <v>0.13</v>
      </c>
      <c r="I37" s="61">
        <f>J37*200/150</f>
        <v>0</v>
      </c>
      <c r="J37" s="62">
        <v>0</v>
      </c>
      <c r="K37" s="61">
        <v>4.78</v>
      </c>
      <c r="L37" s="62">
        <v>3.58</v>
      </c>
      <c r="M37" s="61">
        <v>19.9</v>
      </c>
      <c r="N37" s="62">
        <v>14.92</v>
      </c>
      <c r="O37" s="61">
        <f>P37*200/150</f>
        <v>0.013333333333333334</v>
      </c>
      <c r="P37" s="69">
        <v>0.01</v>
      </c>
      <c r="Q37" s="61">
        <f>R37*200/150</f>
        <v>0.013333333333333334</v>
      </c>
      <c r="R37" s="69">
        <v>0.01</v>
      </c>
      <c r="S37" s="61">
        <v>0.04</v>
      </c>
      <c r="T37" s="69">
        <v>0.03</v>
      </c>
      <c r="U37" s="61">
        <f>V37*200/150</f>
        <v>5.053333333333334</v>
      </c>
      <c r="V37" s="69">
        <v>3.79</v>
      </c>
      <c r="W37" s="61">
        <f>X37*200/150</f>
        <v>0.84</v>
      </c>
      <c r="X37" s="111">
        <v>0.63</v>
      </c>
      <c r="Y37" s="53"/>
      <c r="Z37" s="53"/>
      <c r="AA37" s="53"/>
      <c r="AB37" s="53"/>
      <c r="AC37" s="53"/>
      <c r="AD37" s="53"/>
      <c r="AE37" s="53"/>
    </row>
    <row r="38" spans="1:31" s="16" customFormat="1" ht="15" customHeight="1">
      <c r="A38" s="119"/>
      <c r="B38" s="23" t="s">
        <v>11</v>
      </c>
      <c r="C38" s="43" t="s">
        <v>14</v>
      </c>
      <c r="D38" s="43" t="s">
        <v>14</v>
      </c>
      <c r="E38" s="28">
        <v>1.22</v>
      </c>
      <c r="F38" s="28">
        <v>1.22</v>
      </c>
      <c r="G38" s="28">
        <v>1.6</v>
      </c>
      <c r="H38" s="28">
        <v>1.6</v>
      </c>
      <c r="I38" s="28">
        <v>0.4</v>
      </c>
      <c r="J38" s="28">
        <v>0.4</v>
      </c>
      <c r="K38" s="28">
        <v>10</v>
      </c>
      <c r="L38" s="28">
        <v>10</v>
      </c>
      <c r="M38" s="29">
        <v>54</v>
      </c>
      <c r="N38" s="29">
        <v>54</v>
      </c>
      <c r="O38" s="42">
        <v>0.04</v>
      </c>
      <c r="P38" s="47">
        <v>0.04</v>
      </c>
      <c r="Q38" s="42">
        <v>0.02</v>
      </c>
      <c r="R38" s="47">
        <v>0.02</v>
      </c>
      <c r="S38" s="42">
        <v>0</v>
      </c>
      <c r="T38" s="47">
        <v>0</v>
      </c>
      <c r="U38" s="42">
        <v>7.4</v>
      </c>
      <c r="V38" s="47">
        <v>7.4</v>
      </c>
      <c r="W38" s="42">
        <v>0.56</v>
      </c>
      <c r="X38" s="47">
        <v>0.56</v>
      </c>
      <c r="Y38" s="56"/>
      <c r="Z38" s="56"/>
      <c r="AA38" s="56"/>
      <c r="AB38" s="56"/>
      <c r="AC38" s="56"/>
      <c r="AD38" s="56"/>
      <c r="AE38" s="56"/>
    </row>
    <row r="39" spans="1:31" ht="15" customHeight="1">
      <c r="A39" s="22"/>
      <c r="B39" s="23" t="s">
        <v>7</v>
      </c>
      <c r="C39" s="43"/>
      <c r="D39" s="43"/>
      <c r="E39" s="17">
        <f>SUM(E34:E38)</f>
        <v>32.55</v>
      </c>
      <c r="F39" s="17">
        <f aca="true" t="shared" si="4" ref="F39:T39">SUM(F34:F38)</f>
        <v>32.28</v>
      </c>
      <c r="G39" s="17">
        <f t="shared" si="4"/>
        <v>14.2</v>
      </c>
      <c r="H39" s="17">
        <f t="shared" si="4"/>
        <v>14.142191780821918</v>
      </c>
      <c r="I39" s="17">
        <f t="shared" si="4"/>
        <v>9.67</v>
      </c>
      <c r="J39" s="17">
        <f t="shared" si="4"/>
        <v>9.67</v>
      </c>
      <c r="K39" s="17">
        <f t="shared" si="4"/>
        <v>53.45</v>
      </c>
      <c r="L39" s="17">
        <f t="shared" si="4"/>
        <v>52.056438356164385</v>
      </c>
      <c r="M39" s="17">
        <f t="shared" si="4"/>
        <v>356.54999999999995</v>
      </c>
      <c r="N39" s="17">
        <f t="shared" si="4"/>
        <v>350.8198630136987</v>
      </c>
      <c r="O39" s="17">
        <f t="shared" si="4"/>
        <v>0.4103333333333333</v>
      </c>
      <c r="P39" s="17">
        <f t="shared" si="4"/>
        <v>0.35</v>
      </c>
      <c r="Q39" s="17">
        <f t="shared" si="4"/>
        <v>0.2386666666666667</v>
      </c>
      <c r="R39" s="17">
        <f t="shared" si="4"/>
        <v>0.22000000000000003</v>
      </c>
      <c r="S39" s="17">
        <f t="shared" si="4"/>
        <v>25.19</v>
      </c>
      <c r="T39" s="17">
        <f t="shared" si="4"/>
        <v>24.86424657534247</v>
      </c>
      <c r="U39" s="17">
        <f>SUM(U34:U38)</f>
        <v>92.05233333333332</v>
      </c>
      <c r="V39" s="17">
        <f>SUM(V34:V38)</f>
        <v>83.49000000000001</v>
      </c>
      <c r="W39" s="17">
        <f>SUM(W34:W38)</f>
        <v>6.532</v>
      </c>
      <c r="X39" s="17">
        <f>SUM(X34:X38)</f>
        <v>6.039999999999999</v>
      </c>
      <c r="Y39" s="72">
        <f>SUM(Y34:Y38)</f>
        <v>0</v>
      </c>
      <c r="Z39" s="58"/>
      <c r="AA39" s="58"/>
      <c r="AB39" s="58"/>
      <c r="AC39" s="58"/>
      <c r="AD39" s="53"/>
      <c r="AE39" s="53"/>
    </row>
    <row r="40" spans="1:31" ht="15" customHeight="1">
      <c r="A40" s="22"/>
      <c r="B40" s="23" t="s">
        <v>15</v>
      </c>
      <c r="C40" s="43"/>
      <c r="D40" s="43"/>
      <c r="E40" s="17">
        <f>SUM(E39,E32,E29,E20,E17)</f>
        <v>100.74999999999999</v>
      </c>
      <c r="F40" s="17">
        <f aca="true" t="shared" si="5" ref="F40:T40">SUM(F39,F32,F29,F20,F17)</f>
        <v>94.97</v>
      </c>
      <c r="G40" s="17">
        <f t="shared" si="5"/>
        <v>50.4</v>
      </c>
      <c r="H40" s="17">
        <f t="shared" si="5"/>
        <v>47.38219178082192</v>
      </c>
      <c r="I40" s="17">
        <f t="shared" si="5"/>
        <v>51.290000000000006</v>
      </c>
      <c r="J40" s="17">
        <f t="shared" si="5"/>
        <v>47.70333333333333</v>
      </c>
      <c r="K40" s="17">
        <f t="shared" si="5"/>
        <v>258.02</v>
      </c>
      <c r="L40" s="17">
        <f t="shared" si="5"/>
        <v>223.44310502283105</v>
      </c>
      <c r="M40" s="17">
        <f t="shared" si="5"/>
        <v>1657.33</v>
      </c>
      <c r="N40" s="17">
        <f t="shared" si="5"/>
        <v>1476.7098630136986</v>
      </c>
      <c r="O40" s="17">
        <f t="shared" si="5"/>
        <v>1.0303333333333333</v>
      </c>
      <c r="P40" s="17">
        <f t="shared" si="5"/>
        <v>0.8483374157991427</v>
      </c>
      <c r="Q40" s="17">
        <f t="shared" si="5"/>
        <v>0.9226666666666666</v>
      </c>
      <c r="R40" s="17">
        <f t="shared" si="5"/>
        <v>0.8168498673198612</v>
      </c>
      <c r="S40" s="17">
        <f t="shared" si="5"/>
        <v>62.42000000000001</v>
      </c>
      <c r="T40" s="17">
        <f t="shared" si="5"/>
        <v>55.358413242009135</v>
      </c>
      <c r="U40" s="17">
        <f>U39+U32+U29+U20+U17</f>
        <v>569.1949999999999</v>
      </c>
      <c r="V40" s="17">
        <f>V39+V32+V29+V20+V17</f>
        <v>510.3393427230047</v>
      </c>
      <c r="W40" s="17">
        <f>W39+W32+W29+W20+W17</f>
        <v>14.330666666666668</v>
      </c>
      <c r="X40" s="17">
        <f>X39+X32+X29+X20+X17</f>
        <v>12.173826291079813</v>
      </c>
      <c r="Y40" s="72">
        <f>Y39+Y32+Y29+Y20+Y17</f>
        <v>0</v>
      </c>
      <c r="Z40" s="58"/>
      <c r="AA40" s="58"/>
      <c r="AB40" s="58"/>
      <c r="AC40" s="58"/>
      <c r="AD40" s="53"/>
      <c r="AE40" s="53"/>
    </row>
    <row r="41" spans="1:31" ht="15" customHeight="1">
      <c r="A41" s="22"/>
      <c r="B41" s="128" t="s">
        <v>151</v>
      </c>
      <c r="C41" s="43"/>
      <c r="D41" s="43"/>
      <c r="E41" s="28"/>
      <c r="F41" s="28"/>
      <c r="G41" s="28"/>
      <c r="H41" s="29"/>
      <c r="I41" s="29"/>
      <c r="J41" s="29"/>
      <c r="K41" s="29"/>
      <c r="L41" s="29"/>
      <c r="M41" s="29"/>
      <c r="N41" s="29"/>
      <c r="O41" s="41"/>
      <c r="P41" s="41"/>
      <c r="Q41" s="41"/>
      <c r="R41" s="41"/>
      <c r="S41" s="41"/>
      <c r="T41" s="41"/>
      <c r="U41" s="41"/>
      <c r="V41" s="41"/>
      <c r="W41" s="41"/>
      <c r="X41" s="75"/>
      <c r="Y41" s="54"/>
      <c r="Z41" s="53"/>
      <c r="AA41" s="53"/>
      <c r="AB41" s="53"/>
      <c r="AC41" s="53"/>
      <c r="AD41" s="53"/>
      <c r="AE41" s="53"/>
    </row>
    <row r="42" spans="1:31" ht="15" customHeight="1">
      <c r="A42" s="22"/>
      <c r="B42" s="89" t="s">
        <v>4</v>
      </c>
      <c r="C42" s="43"/>
      <c r="D42" s="43"/>
      <c r="E42" s="28"/>
      <c r="F42" s="28"/>
      <c r="G42" s="28"/>
      <c r="H42" s="29"/>
      <c r="I42" s="29"/>
      <c r="J42" s="29"/>
      <c r="K42" s="29"/>
      <c r="L42" s="29"/>
      <c r="M42" s="29"/>
      <c r="N42" s="29"/>
      <c r="O42" s="41"/>
      <c r="P42" s="41"/>
      <c r="Q42" s="41"/>
      <c r="R42" s="41"/>
      <c r="S42" s="41"/>
      <c r="T42" s="41"/>
      <c r="U42" s="41"/>
      <c r="V42" s="41"/>
      <c r="W42" s="41"/>
      <c r="X42" s="75"/>
      <c r="Y42" s="54"/>
      <c r="Z42" s="53"/>
      <c r="AA42" s="53"/>
      <c r="AB42" s="53"/>
      <c r="AC42" s="53"/>
      <c r="AD42" s="53"/>
      <c r="AE42" s="53"/>
    </row>
    <row r="43" spans="1:30" s="1" customFormat="1" ht="14.25" customHeight="1">
      <c r="A43" s="119" t="s">
        <v>60</v>
      </c>
      <c r="B43" s="23" t="s">
        <v>143</v>
      </c>
      <c r="C43" s="43" t="s">
        <v>144</v>
      </c>
      <c r="D43" s="43" t="s">
        <v>144</v>
      </c>
      <c r="E43" s="28">
        <v>7.11</v>
      </c>
      <c r="F43" s="28">
        <v>7.11</v>
      </c>
      <c r="G43" s="28">
        <v>2.93</v>
      </c>
      <c r="H43" s="29">
        <v>2.93</v>
      </c>
      <c r="I43" s="28">
        <v>6.05</v>
      </c>
      <c r="J43" s="29">
        <v>6.05</v>
      </c>
      <c r="K43" s="28">
        <v>10.4</v>
      </c>
      <c r="L43" s="29">
        <v>10.4</v>
      </c>
      <c r="M43" s="28">
        <v>107.77</v>
      </c>
      <c r="N43" s="29">
        <v>107.77</v>
      </c>
      <c r="O43" s="29">
        <v>0.08</v>
      </c>
      <c r="P43" s="29">
        <f>O43*40/60</f>
        <v>0.05333333333333334</v>
      </c>
      <c r="Q43" s="29">
        <v>0.06</v>
      </c>
      <c r="R43" s="29">
        <f>Q43*40/60</f>
        <v>0.04</v>
      </c>
      <c r="S43" s="28">
        <v>0.14</v>
      </c>
      <c r="T43" s="29">
        <v>0.14</v>
      </c>
      <c r="U43" s="29">
        <v>70.8</v>
      </c>
      <c r="V43" s="29">
        <f>U43*40/60</f>
        <v>47.2</v>
      </c>
      <c r="W43" s="29">
        <v>0.81</v>
      </c>
      <c r="X43" s="74">
        <f>W43*40/60</f>
        <v>0.5400000000000001</v>
      </c>
      <c r="Y43" s="59"/>
      <c r="Z43" s="57"/>
      <c r="AA43" s="57"/>
      <c r="AB43" s="57"/>
      <c r="AC43" s="57"/>
      <c r="AD43" s="57"/>
    </row>
    <row r="44" spans="1:33" ht="25.5">
      <c r="A44" s="119" t="s">
        <v>75</v>
      </c>
      <c r="B44" s="23" t="s">
        <v>136</v>
      </c>
      <c r="C44" s="43" t="s">
        <v>5</v>
      </c>
      <c r="D44" s="43" t="s">
        <v>6</v>
      </c>
      <c r="E44" s="61">
        <v>6.82</v>
      </c>
      <c r="F44" s="61">
        <v>5.12</v>
      </c>
      <c r="G44" s="28">
        <v>4.47</v>
      </c>
      <c r="H44" s="28">
        <v>3.35</v>
      </c>
      <c r="I44" s="28">
        <v>7.13</v>
      </c>
      <c r="J44" s="28">
        <v>5.35</v>
      </c>
      <c r="K44" s="28">
        <v>15.38</v>
      </c>
      <c r="L44" s="28">
        <v>11.5</v>
      </c>
      <c r="M44" s="28">
        <v>123.24</v>
      </c>
      <c r="N44" s="28">
        <v>92.4</v>
      </c>
      <c r="O44" s="29">
        <v>0.09</v>
      </c>
      <c r="P44" s="28">
        <f>O44*150/200</f>
        <v>0.0675</v>
      </c>
      <c r="Q44" s="29">
        <v>0.14</v>
      </c>
      <c r="R44" s="28">
        <f>Q44*150/200</f>
        <v>0.10500000000000002</v>
      </c>
      <c r="S44" s="29">
        <v>1</v>
      </c>
      <c r="T44" s="28">
        <v>0.75</v>
      </c>
      <c r="U44" s="29">
        <v>129.32</v>
      </c>
      <c r="V44" s="28">
        <f>U44*150/200</f>
        <v>96.99</v>
      </c>
      <c r="W44" s="29">
        <v>0.42</v>
      </c>
      <c r="X44" s="116">
        <f>W44*150/200</f>
        <v>0.315</v>
      </c>
      <c r="Y44" s="54"/>
      <c r="Z44" s="53"/>
      <c r="AA44" s="53"/>
      <c r="AB44" s="53"/>
      <c r="AC44" s="53"/>
      <c r="AD44" s="53"/>
      <c r="AE44" s="53"/>
      <c r="AF44" s="53"/>
      <c r="AG44" s="53"/>
    </row>
    <row r="45" spans="1:31" ht="15" customHeight="1">
      <c r="A45" s="119" t="s">
        <v>32</v>
      </c>
      <c r="B45" s="23" t="s">
        <v>33</v>
      </c>
      <c r="C45" s="43" t="s">
        <v>31</v>
      </c>
      <c r="D45" s="43" t="s">
        <v>6</v>
      </c>
      <c r="E45" s="28">
        <v>6.12</v>
      </c>
      <c r="F45" s="28">
        <v>5.1</v>
      </c>
      <c r="G45" s="40">
        <v>2.95</v>
      </c>
      <c r="H45" s="40">
        <v>2.46</v>
      </c>
      <c r="I45" s="40">
        <v>3.24</v>
      </c>
      <c r="J45" s="40">
        <v>2.7</v>
      </c>
      <c r="K45" s="40">
        <v>22.82</v>
      </c>
      <c r="L45" s="40">
        <v>19.02</v>
      </c>
      <c r="M45" s="40">
        <v>132.26</v>
      </c>
      <c r="N45" s="29">
        <v>110.22</v>
      </c>
      <c r="O45" s="40">
        <f>P45*180/150</f>
        <v>0.024</v>
      </c>
      <c r="P45" s="44">
        <v>0.02</v>
      </c>
      <c r="Q45" s="40">
        <f>R45*180/150</f>
        <v>0.12</v>
      </c>
      <c r="R45" s="44">
        <v>0.1</v>
      </c>
      <c r="S45" s="40">
        <v>1.43</v>
      </c>
      <c r="T45" s="44">
        <v>1.2</v>
      </c>
      <c r="U45" s="40">
        <f>V45*180/150</f>
        <v>109.58399999999999</v>
      </c>
      <c r="V45" s="44">
        <v>91.32</v>
      </c>
      <c r="W45" s="40">
        <f>X45*180/150</f>
        <v>0.36</v>
      </c>
      <c r="X45" s="44">
        <v>0.3</v>
      </c>
      <c r="Y45" s="53"/>
      <c r="Z45" s="53"/>
      <c r="AA45" s="53"/>
      <c r="AB45" s="53"/>
      <c r="AC45" s="53"/>
      <c r="AD45" s="53"/>
      <c r="AE45" s="53"/>
    </row>
    <row r="46" spans="1:31" ht="15" customHeight="1">
      <c r="A46" s="22"/>
      <c r="B46" s="23" t="s">
        <v>7</v>
      </c>
      <c r="C46" s="43"/>
      <c r="D46" s="43"/>
      <c r="E46" s="17">
        <f>SUM(E43:E45)</f>
        <v>20.05</v>
      </c>
      <c r="F46" s="17">
        <f aca="true" t="shared" si="6" ref="F46:T46">SUM(F43:F45)</f>
        <v>17.33</v>
      </c>
      <c r="G46" s="17">
        <f t="shared" si="6"/>
        <v>10.350000000000001</v>
      </c>
      <c r="H46" s="17">
        <f t="shared" si="6"/>
        <v>8.74</v>
      </c>
      <c r="I46" s="17">
        <f t="shared" si="6"/>
        <v>16.42</v>
      </c>
      <c r="J46" s="17">
        <f t="shared" si="6"/>
        <v>14.099999999999998</v>
      </c>
      <c r="K46" s="17">
        <f t="shared" si="6"/>
        <v>48.6</v>
      </c>
      <c r="L46" s="17">
        <f t="shared" si="6"/>
        <v>40.92</v>
      </c>
      <c r="M46" s="17">
        <f t="shared" si="6"/>
        <v>363.27</v>
      </c>
      <c r="N46" s="17">
        <f t="shared" si="6"/>
        <v>310.39</v>
      </c>
      <c r="O46" s="17">
        <f t="shared" si="6"/>
        <v>0.19399999999999998</v>
      </c>
      <c r="P46" s="17">
        <f t="shared" si="6"/>
        <v>0.14083333333333334</v>
      </c>
      <c r="Q46" s="17">
        <f t="shared" si="6"/>
        <v>0.32</v>
      </c>
      <c r="R46" s="17">
        <f t="shared" si="6"/>
        <v>0.24500000000000002</v>
      </c>
      <c r="S46" s="17">
        <f t="shared" si="6"/>
        <v>2.5700000000000003</v>
      </c>
      <c r="T46" s="17">
        <f t="shared" si="6"/>
        <v>2.09</v>
      </c>
      <c r="U46" s="17">
        <f aca="true" t="shared" si="7" ref="U46:AB46">SUM(U43:U45)</f>
        <v>309.704</v>
      </c>
      <c r="V46" s="17">
        <f t="shared" si="7"/>
        <v>235.51</v>
      </c>
      <c r="W46" s="17">
        <f t="shared" si="7"/>
        <v>1.5899999999999999</v>
      </c>
      <c r="X46" s="17">
        <f t="shared" si="7"/>
        <v>1.1550000000000002</v>
      </c>
      <c r="Y46" s="17">
        <f t="shared" si="7"/>
        <v>0</v>
      </c>
      <c r="Z46" s="17">
        <f t="shared" si="7"/>
        <v>0</v>
      </c>
      <c r="AA46" s="17">
        <f t="shared" si="7"/>
        <v>0</v>
      </c>
      <c r="AB46" s="17">
        <f t="shared" si="7"/>
        <v>0</v>
      </c>
      <c r="AC46" s="58"/>
      <c r="AD46" s="53"/>
      <c r="AE46" s="53"/>
    </row>
    <row r="47" spans="1:31" ht="15" customHeight="1">
      <c r="A47" s="22"/>
      <c r="B47" s="89" t="s">
        <v>16</v>
      </c>
      <c r="C47" s="43"/>
      <c r="D47" s="43"/>
      <c r="E47" s="28"/>
      <c r="F47" s="28"/>
      <c r="G47" s="28"/>
      <c r="H47" s="29"/>
      <c r="I47" s="29"/>
      <c r="J47" s="29"/>
      <c r="K47" s="29"/>
      <c r="L47" s="29"/>
      <c r="M47" s="29"/>
      <c r="N47" s="29"/>
      <c r="O47" s="41"/>
      <c r="P47" s="41"/>
      <c r="Q47" s="41"/>
      <c r="R47" s="41"/>
      <c r="S47" s="41"/>
      <c r="T47" s="41"/>
      <c r="U47" s="41"/>
      <c r="V47" s="41"/>
      <c r="W47" s="41"/>
      <c r="X47" s="75"/>
      <c r="Y47" s="54"/>
      <c r="Z47" s="53"/>
      <c r="AA47" s="53"/>
      <c r="AB47" s="53"/>
      <c r="AC47" s="53"/>
      <c r="AD47" s="53"/>
      <c r="AE47" s="53"/>
    </row>
    <row r="48" spans="1:31" s="1" customFormat="1" ht="15" customHeight="1">
      <c r="A48" s="120" t="s">
        <v>51</v>
      </c>
      <c r="B48" s="64" t="s">
        <v>54</v>
      </c>
      <c r="C48" s="65" t="s">
        <v>100</v>
      </c>
      <c r="D48" s="65" t="s">
        <v>100</v>
      </c>
      <c r="E48" s="61">
        <v>4.41</v>
      </c>
      <c r="F48" s="61">
        <v>4.41</v>
      </c>
      <c r="G48" s="66">
        <v>0</v>
      </c>
      <c r="H48" s="68">
        <v>0</v>
      </c>
      <c r="I48" s="66">
        <f>J48*180/150</f>
        <v>0</v>
      </c>
      <c r="J48" s="68">
        <v>0</v>
      </c>
      <c r="K48" s="66">
        <v>10.2</v>
      </c>
      <c r="L48" s="68">
        <v>10.2</v>
      </c>
      <c r="M48" s="66">
        <v>40.8</v>
      </c>
      <c r="N48" s="68">
        <v>40.8</v>
      </c>
      <c r="O48" s="66">
        <f>P48*180/150</f>
        <v>0</v>
      </c>
      <c r="P48" s="68">
        <v>0</v>
      </c>
      <c r="Q48" s="66">
        <f>R48*180/150</f>
        <v>0.024</v>
      </c>
      <c r="R48" s="68">
        <v>0.02</v>
      </c>
      <c r="S48" s="66">
        <v>3.4</v>
      </c>
      <c r="T48" s="68">
        <v>3.4</v>
      </c>
      <c r="U48" s="66">
        <f>V48*180/150</f>
        <v>9.996</v>
      </c>
      <c r="V48" s="68">
        <v>8.33</v>
      </c>
      <c r="W48" s="66">
        <f>X48*180/150</f>
        <v>0.252</v>
      </c>
      <c r="X48" s="101">
        <v>0.21</v>
      </c>
      <c r="Y48" s="57"/>
      <c r="Z48" s="57"/>
      <c r="AA48" s="57"/>
      <c r="AB48" s="57"/>
      <c r="AC48" s="57"/>
      <c r="AD48" s="57"/>
      <c r="AE48" s="57"/>
    </row>
    <row r="49" spans="1:31" ht="15" customHeight="1">
      <c r="A49" s="22"/>
      <c r="B49" s="23" t="s">
        <v>7</v>
      </c>
      <c r="C49" s="43"/>
      <c r="D49" s="43"/>
      <c r="E49" s="17">
        <f>SUM(E48)</f>
        <v>4.41</v>
      </c>
      <c r="F49" s="17">
        <f aca="true" t="shared" si="8" ref="F49:T49">SUM(F48)</f>
        <v>4.41</v>
      </c>
      <c r="G49" s="17">
        <f t="shared" si="8"/>
        <v>0</v>
      </c>
      <c r="H49" s="17">
        <f t="shared" si="8"/>
        <v>0</v>
      </c>
      <c r="I49" s="17">
        <f t="shared" si="8"/>
        <v>0</v>
      </c>
      <c r="J49" s="17">
        <f t="shared" si="8"/>
        <v>0</v>
      </c>
      <c r="K49" s="17">
        <f t="shared" si="8"/>
        <v>10.2</v>
      </c>
      <c r="L49" s="17">
        <f t="shared" si="8"/>
        <v>10.2</v>
      </c>
      <c r="M49" s="17">
        <f t="shared" si="8"/>
        <v>40.8</v>
      </c>
      <c r="N49" s="17">
        <f t="shared" si="8"/>
        <v>40.8</v>
      </c>
      <c r="O49" s="17">
        <f t="shared" si="8"/>
        <v>0</v>
      </c>
      <c r="P49" s="17">
        <f t="shared" si="8"/>
        <v>0</v>
      </c>
      <c r="Q49" s="17">
        <f t="shared" si="8"/>
        <v>0.024</v>
      </c>
      <c r="R49" s="17">
        <f t="shared" si="8"/>
        <v>0.02</v>
      </c>
      <c r="S49" s="17">
        <f t="shared" si="8"/>
        <v>3.4</v>
      </c>
      <c r="T49" s="17">
        <f t="shared" si="8"/>
        <v>3.4</v>
      </c>
      <c r="U49" s="17">
        <f>SUM(U48)</f>
        <v>9.996</v>
      </c>
      <c r="V49" s="17">
        <f>SUM(V48)</f>
        <v>8.33</v>
      </c>
      <c r="W49" s="17">
        <f>SUM(W48)</f>
        <v>0.252</v>
      </c>
      <c r="X49" s="17">
        <f>SUM(X48)</f>
        <v>0.21</v>
      </c>
      <c r="Y49" s="72">
        <f>SUM(Y48)</f>
        <v>0</v>
      </c>
      <c r="Z49" s="58"/>
      <c r="AA49" s="58"/>
      <c r="AB49" s="58"/>
      <c r="AC49" s="58"/>
      <c r="AD49" s="53"/>
      <c r="AE49" s="53"/>
    </row>
    <row r="50" spans="1:31" ht="15" customHeight="1">
      <c r="A50" s="22"/>
      <c r="B50" s="89" t="s">
        <v>9</v>
      </c>
      <c r="C50" s="43"/>
      <c r="D50" s="43"/>
      <c r="E50" s="28"/>
      <c r="F50" s="28"/>
      <c r="G50" s="28"/>
      <c r="H50" s="29"/>
      <c r="I50" s="29"/>
      <c r="J50" s="29"/>
      <c r="K50" s="29"/>
      <c r="L50" s="29"/>
      <c r="M50" s="29"/>
      <c r="N50" s="29"/>
      <c r="O50" s="41"/>
      <c r="P50" s="41"/>
      <c r="Q50" s="41"/>
      <c r="R50" s="41"/>
      <c r="S50" s="41"/>
      <c r="T50" s="41"/>
      <c r="U50" s="41"/>
      <c r="V50" s="41"/>
      <c r="W50" s="41"/>
      <c r="X50" s="75"/>
      <c r="Y50" s="54"/>
      <c r="Z50" s="53"/>
      <c r="AA50" s="53"/>
      <c r="AB50" s="53"/>
      <c r="AC50" s="53"/>
      <c r="AD50" s="53"/>
      <c r="AE50" s="53"/>
    </row>
    <row r="51" spans="1:29" ht="15" customHeight="1">
      <c r="A51" s="120" t="s">
        <v>146</v>
      </c>
      <c r="B51" s="107" t="s">
        <v>147</v>
      </c>
      <c r="C51" s="65" t="s">
        <v>30</v>
      </c>
      <c r="D51" s="65" t="s">
        <v>87</v>
      </c>
      <c r="E51" s="61">
        <v>2.5</v>
      </c>
      <c r="F51" s="61">
        <v>2.09</v>
      </c>
      <c r="G51" s="61">
        <v>0.6</v>
      </c>
      <c r="H51" s="62">
        <f>G51*50/60</f>
        <v>0.5</v>
      </c>
      <c r="I51" s="61">
        <v>3</v>
      </c>
      <c r="J51" s="62">
        <f>I51*50/60</f>
        <v>2.5</v>
      </c>
      <c r="K51" s="61">
        <v>6.12</v>
      </c>
      <c r="L51" s="62">
        <f>K51*50/60</f>
        <v>5.1</v>
      </c>
      <c r="M51" s="61">
        <v>54</v>
      </c>
      <c r="N51" s="62">
        <f>M51*50/60</f>
        <v>45</v>
      </c>
      <c r="O51" s="62"/>
      <c r="P51" s="62"/>
      <c r="Q51" s="62"/>
      <c r="R51" s="62"/>
      <c r="S51" s="61">
        <v>13.44</v>
      </c>
      <c r="T51" s="62">
        <f>S51*50/60</f>
        <v>11.2</v>
      </c>
      <c r="U51" s="62">
        <v>13.18</v>
      </c>
      <c r="V51" s="62">
        <f>U51*45/60</f>
        <v>9.885</v>
      </c>
      <c r="W51" s="62">
        <v>0.62</v>
      </c>
      <c r="X51" s="62">
        <f>W51*45/60</f>
        <v>0.46499999999999997</v>
      </c>
      <c r="Z51" s="53"/>
      <c r="AA51" s="53"/>
      <c r="AB51" s="53"/>
      <c r="AC51" s="53"/>
    </row>
    <row r="52" spans="1:24" s="7" customFormat="1" ht="27" customHeight="1">
      <c r="A52" s="127" t="s">
        <v>109</v>
      </c>
      <c r="B52" s="67" t="s">
        <v>110</v>
      </c>
      <c r="C52" s="65" t="s">
        <v>61</v>
      </c>
      <c r="D52" s="65" t="s">
        <v>62</v>
      </c>
      <c r="E52" s="149">
        <v>11.12</v>
      </c>
      <c r="F52" s="61">
        <v>10.26</v>
      </c>
      <c r="G52" s="66">
        <v>6.72</v>
      </c>
      <c r="H52" s="66">
        <v>4.61</v>
      </c>
      <c r="I52" s="66">
        <v>8.51</v>
      </c>
      <c r="J52" s="66">
        <v>4.77</v>
      </c>
      <c r="K52" s="66">
        <v>20.31</v>
      </c>
      <c r="L52" s="66">
        <v>17.89</v>
      </c>
      <c r="M52" s="66">
        <v>140.12</v>
      </c>
      <c r="N52" s="66">
        <v>115.5</v>
      </c>
      <c r="O52" s="71">
        <v>0.14</v>
      </c>
      <c r="P52" s="78">
        <v>0.11</v>
      </c>
      <c r="Q52" s="71">
        <v>0.11</v>
      </c>
      <c r="R52" s="78">
        <v>0.11</v>
      </c>
      <c r="S52" s="71">
        <v>10.78</v>
      </c>
      <c r="T52" s="78">
        <v>10.78</v>
      </c>
      <c r="U52" s="71">
        <v>18.09</v>
      </c>
      <c r="V52" s="78">
        <v>18.09</v>
      </c>
      <c r="W52" s="71">
        <v>1.07</v>
      </c>
      <c r="X52" s="78">
        <v>1.07</v>
      </c>
    </row>
    <row r="53" spans="1:29" s="7" customFormat="1" ht="15" customHeight="1">
      <c r="A53" s="120" t="s">
        <v>142</v>
      </c>
      <c r="B53" s="64" t="s">
        <v>166</v>
      </c>
      <c r="C53" s="65" t="s">
        <v>10</v>
      </c>
      <c r="D53" s="65" t="s">
        <v>10</v>
      </c>
      <c r="E53" s="61">
        <v>19.87</v>
      </c>
      <c r="F53" s="61">
        <v>19.87</v>
      </c>
      <c r="G53" s="61">
        <v>10</v>
      </c>
      <c r="H53" s="61">
        <v>10</v>
      </c>
      <c r="I53" s="62">
        <v>3</v>
      </c>
      <c r="J53" s="62">
        <v>3</v>
      </c>
      <c r="K53" s="62">
        <v>6</v>
      </c>
      <c r="L53" s="62">
        <v>6</v>
      </c>
      <c r="M53" s="62">
        <v>90</v>
      </c>
      <c r="N53" s="62">
        <v>90</v>
      </c>
      <c r="O53" s="62">
        <v>0.07</v>
      </c>
      <c r="P53" s="62">
        <v>0.07</v>
      </c>
      <c r="Q53" s="62">
        <v>0.09</v>
      </c>
      <c r="R53" s="62">
        <v>0.09</v>
      </c>
      <c r="S53" s="62">
        <v>0.35</v>
      </c>
      <c r="T53" s="62">
        <v>0.35</v>
      </c>
      <c r="U53" s="69">
        <v>5.85</v>
      </c>
      <c r="V53" s="69">
        <v>5.85</v>
      </c>
      <c r="W53" s="69">
        <v>0.85</v>
      </c>
      <c r="X53" s="69">
        <v>0.85</v>
      </c>
      <c r="Z53" s="76"/>
      <c r="AA53" s="76"/>
      <c r="AB53" s="76"/>
      <c r="AC53" s="76"/>
    </row>
    <row r="54" spans="1:31" ht="15.75" customHeight="1">
      <c r="A54" s="120" t="s">
        <v>28</v>
      </c>
      <c r="B54" s="64" t="s">
        <v>82</v>
      </c>
      <c r="C54" s="65" t="s">
        <v>6</v>
      </c>
      <c r="D54" s="65" t="s">
        <v>72</v>
      </c>
      <c r="E54" s="61">
        <v>3.88</v>
      </c>
      <c r="F54" s="61">
        <v>3.37</v>
      </c>
      <c r="G54" s="62">
        <f>H54*150/130</f>
        <v>4.5</v>
      </c>
      <c r="H54" s="62">
        <v>3.9</v>
      </c>
      <c r="I54" s="62">
        <f>J54*150/130</f>
        <v>6.75</v>
      </c>
      <c r="J54" s="62">
        <v>5.85</v>
      </c>
      <c r="K54" s="62">
        <f>L54*150/130</f>
        <v>22.35</v>
      </c>
      <c r="L54" s="62">
        <v>19.37</v>
      </c>
      <c r="M54" s="62">
        <f>N54*150/130</f>
        <v>168.15</v>
      </c>
      <c r="N54" s="62">
        <v>145.73</v>
      </c>
      <c r="O54" s="62">
        <f>P54*130/100</f>
        <v>0.039</v>
      </c>
      <c r="P54" s="62">
        <v>0.03</v>
      </c>
      <c r="Q54" s="62">
        <f>R54*130/100</f>
        <v>0.013000000000000001</v>
      </c>
      <c r="R54" s="62">
        <v>0.01</v>
      </c>
      <c r="S54" s="62">
        <f>T54*130/100</f>
        <v>0</v>
      </c>
      <c r="T54" s="62">
        <v>0</v>
      </c>
      <c r="U54" s="62">
        <f>V54*130/100</f>
        <v>11.973000000000003</v>
      </c>
      <c r="V54" s="62">
        <v>9.21</v>
      </c>
      <c r="W54" s="62">
        <f>X54*130/100</f>
        <v>0.9620000000000001</v>
      </c>
      <c r="X54" s="62">
        <v>0.74</v>
      </c>
      <c r="Y54" s="134"/>
      <c r="Z54" s="135"/>
      <c r="AA54" s="135"/>
      <c r="AB54" s="135"/>
      <c r="AC54" s="53"/>
      <c r="AD54" s="53"/>
      <c r="AE54" s="53"/>
    </row>
    <row r="55" spans="1:31" ht="15.75" customHeight="1">
      <c r="A55" s="120" t="s">
        <v>123</v>
      </c>
      <c r="B55" s="64" t="s">
        <v>124</v>
      </c>
      <c r="C55" s="65" t="s">
        <v>5</v>
      </c>
      <c r="D55" s="65" t="s">
        <v>6</v>
      </c>
      <c r="E55" s="28">
        <v>4.64</v>
      </c>
      <c r="F55" s="28">
        <v>3.48</v>
      </c>
      <c r="G55" s="66">
        <v>0.4</v>
      </c>
      <c r="H55" s="68">
        <v>0.3</v>
      </c>
      <c r="I55" s="66">
        <v>0</v>
      </c>
      <c r="J55" s="68">
        <f>I55*150/200</f>
        <v>0</v>
      </c>
      <c r="K55" s="66">
        <v>46.6</v>
      </c>
      <c r="L55" s="68">
        <v>34.95</v>
      </c>
      <c r="M55" s="66">
        <v>188</v>
      </c>
      <c r="N55" s="68">
        <v>141</v>
      </c>
      <c r="O55" s="66">
        <v>0</v>
      </c>
      <c r="P55" s="68">
        <f>O55*150/200</f>
        <v>0</v>
      </c>
      <c r="Q55" s="66">
        <v>0</v>
      </c>
      <c r="R55" s="68">
        <f>Q55*150/200</f>
        <v>0</v>
      </c>
      <c r="S55" s="66">
        <v>2.58</v>
      </c>
      <c r="T55" s="68">
        <v>1.93</v>
      </c>
      <c r="U55" s="66">
        <v>7.78</v>
      </c>
      <c r="V55" s="68">
        <f>U55*150/200</f>
        <v>5.835</v>
      </c>
      <c r="W55" s="66">
        <v>0.33</v>
      </c>
      <c r="X55" s="68">
        <f>W55*150/200</f>
        <v>0.2475</v>
      </c>
      <c r="Y55" s="1"/>
      <c r="Z55" s="57"/>
      <c r="AA55" s="57"/>
      <c r="AB55" s="57"/>
      <c r="AC55" s="57"/>
      <c r="AD55" s="53"/>
      <c r="AE55" s="53"/>
    </row>
    <row r="56" spans="1:31" s="16" customFormat="1" ht="15" customHeight="1">
      <c r="A56" s="119"/>
      <c r="B56" s="23" t="s">
        <v>11</v>
      </c>
      <c r="C56" s="43" t="s">
        <v>14</v>
      </c>
      <c r="D56" s="43" t="s">
        <v>14</v>
      </c>
      <c r="E56" s="28">
        <v>1.22</v>
      </c>
      <c r="F56" s="28">
        <v>1.22</v>
      </c>
      <c r="G56" s="28">
        <v>1.6</v>
      </c>
      <c r="H56" s="28">
        <v>1.6</v>
      </c>
      <c r="I56" s="28">
        <v>0.4</v>
      </c>
      <c r="J56" s="28">
        <v>0.4</v>
      </c>
      <c r="K56" s="28">
        <v>10</v>
      </c>
      <c r="L56" s="28">
        <v>10</v>
      </c>
      <c r="M56" s="29">
        <v>54</v>
      </c>
      <c r="N56" s="29">
        <v>54</v>
      </c>
      <c r="O56" s="42">
        <v>0.04</v>
      </c>
      <c r="P56" s="47">
        <v>0.04</v>
      </c>
      <c r="Q56" s="42">
        <v>0.02</v>
      </c>
      <c r="R56" s="47">
        <v>0.02</v>
      </c>
      <c r="S56" s="42">
        <v>0</v>
      </c>
      <c r="T56" s="47">
        <v>0</v>
      </c>
      <c r="U56" s="42">
        <v>7.4</v>
      </c>
      <c r="V56" s="47">
        <v>7.4</v>
      </c>
      <c r="W56" s="42">
        <v>0.56</v>
      </c>
      <c r="X56" s="47">
        <v>0.56</v>
      </c>
      <c r="Y56" s="56"/>
      <c r="Z56" s="56"/>
      <c r="AA56" s="56"/>
      <c r="AB56" s="56"/>
      <c r="AC56" s="56"/>
      <c r="AD56" s="56"/>
      <c r="AE56" s="56"/>
    </row>
    <row r="57" spans="1:31" ht="15" customHeight="1">
      <c r="A57" s="119"/>
      <c r="B57" s="23" t="s">
        <v>47</v>
      </c>
      <c r="C57" s="43" t="s">
        <v>73</v>
      </c>
      <c r="D57" s="43" t="s">
        <v>74</v>
      </c>
      <c r="E57" s="28">
        <v>2.3</v>
      </c>
      <c r="F57" s="28">
        <v>2.01</v>
      </c>
      <c r="G57" s="28">
        <v>3.25</v>
      </c>
      <c r="H57" s="29">
        <v>2.84</v>
      </c>
      <c r="I57" s="29">
        <v>0.46</v>
      </c>
      <c r="J57" s="29">
        <f>I57*40.6/46</f>
        <v>0.406</v>
      </c>
      <c r="K57" s="29">
        <v>20.88</v>
      </c>
      <c r="L57" s="29">
        <v>18.27</v>
      </c>
      <c r="M57" s="29">
        <v>102.08</v>
      </c>
      <c r="N57" s="29">
        <v>89.32</v>
      </c>
      <c r="O57" s="40">
        <v>0.06</v>
      </c>
      <c r="P57" s="44">
        <v>0.04</v>
      </c>
      <c r="Q57" s="40">
        <v>0.04</v>
      </c>
      <c r="R57" s="44">
        <v>0.03</v>
      </c>
      <c r="S57" s="40">
        <v>0</v>
      </c>
      <c r="T57" s="29">
        <f>S57*40.6/46</f>
        <v>0</v>
      </c>
      <c r="U57" s="42">
        <v>17</v>
      </c>
      <c r="V57" s="47">
        <v>13.6</v>
      </c>
      <c r="W57" s="42">
        <v>1.15</v>
      </c>
      <c r="X57" s="47">
        <v>0.92</v>
      </c>
      <c r="Y57" s="53"/>
      <c r="Z57" s="53"/>
      <c r="AA57" s="53"/>
      <c r="AB57" s="53"/>
      <c r="AC57" s="53"/>
      <c r="AD57" s="53"/>
      <c r="AE57" s="53"/>
    </row>
    <row r="58" spans="1:31" ht="15" customHeight="1">
      <c r="A58" s="22"/>
      <c r="B58" s="23" t="s">
        <v>7</v>
      </c>
      <c r="C58" s="43"/>
      <c r="D58" s="43"/>
      <c r="E58" s="17">
        <f>SUM(E51:E57)</f>
        <v>45.53</v>
      </c>
      <c r="F58" s="17">
        <f aca="true" t="shared" si="9" ref="F58:T58">SUM(F51:F57)</f>
        <v>42.29999999999999</v>
      </c>
      <c r="G58" s="17">
        <f t="shared" si="9"/>
        <v>27.07</v>
      </c>
      <c r="H58" s="17">
        <f t="shared" si="9"/>
        <v>23.75</v>
      </c>
      <c r="I58" s="17">
        <f>SUM(I51:I57)-5</f>
        <v>17.119999999999997</v>
      </c>
      <c r="J58" s="17">
        <f>SUM(J51:J57)-5</f>
        <v>11.925999999999995</v>
      </c>
      <c r="K58" s="17">
        <f t="shared" si="9"/>
        <v>132.26</v>
      </c>
      <c r="L58" s="17">
        <f t="shared" si="9"/>
        <v>111.58</v>
      </c>
      <c r="M58" s="17">
        <f>SUM(M51:M57)-100</f>
        <v>696.35</v>
      </c>
      <c r="N58" s="17">
        <f>SUM(N51:N57)-210</f>
        <v>470.54999999999995</v>
      </c>
      <c r="O58" s="17">
        <f t="shared" si="9"/>
        <v>0.34900000000000003</v>
      </c>
      <c r="P58" s="17">
        <f t="shared" si="9"/>
        <v>0.29</v>
      </c>
      <c r="Q58" s="17">
        <f t="shared" si="9"/>
        <v>0.273</v>
      </c>
      <c r="R58" s="17">
        <f t="shared" si="9"/>
        <v>0.26</v>
      </c>
      <c r="S58" s="17">
        <f t="shared" si="9"/>
        <v>27.15</v>
      </c>
      <c r="T58" s="17">
        <f t="shared" si="9"/>
        <v>24.259999999999998</v>
      </c>
      <c r="U58" s="17">
        <f aca="true" t="shared" si="10" ref="U58:AB58">SUM(U51:U57)</f>
        <v>81.27300000000001</v>
      </c>
      <c r="V58" s="17">
        <f t="shared" si="10"/>
        <v>69.87</v>
      </c>
      <c r="W58" s="17">
        <f t="shared" si="10"/>
        <v>5.542</v>
      </c>
      <c r="X58" s="17">
        <f t="shared" si="10"/>
        <v>4.8525</v>
      </c>
      <c r="Y58" s="17">
        <f t="shared" si="10"/>
        <v>0</v>
      </c>
      <c r="Z58" s="17">
        <f t="shared" si="10"/>
        <v>0</v>
      </c>
      <c r="AA58" s="17">
        <f t="shared" si="10"/>
        <v>0</v>
      </c>
      <c r="AB58" s="17">
        <f t="shared" si="10"/>
        <v>0</v>
      </c>
      <c r="AC58" s="58"/>
      <c r="AD58" s="53"/>
      <c r="AE58" s="53"/>
    </row>
    <row r="59" spans="1:31" ht="15" customHeight="1">
      <c r="A59" s="22"/>
      <c r="B59" s="89" t="s">
        <v>17</v>
      </c>
      <c r="C59" s="43"/>
      <c r="D59" s="43"/>
      <c r="E59" s="28"/>
      <c r="F59" s="28"/>
      <c r="G59" s="28"/>
      <c r="H59" s="29"/>
      <c r="I59" s="29"/>
      <c r="J59" s="29"/>
      <c r="K59" s="29"/>
      <c r="L59" s="29"/>
      <c r="M59" s="29"/>
      <c r="N59" s="29"/>
      <c r="O59" s="41"/>
      <c r="P59" s="41"/>
      <c r="Q59" s="41"/>
      <c r="R59" s="41"/>
      <c r="S59" s="41"/>
      <c r="T59" s="41"/>
      <c r="U59" s="41"/>
      <c r="V59" s="41"/>
      <c r="W59" s="41"/>
      <c r="X59" s="75"/>
      <c r="Y59" s="54"/>
      <c r="Z59" s="53"/>
      <c r="AA59" s="53"/>
      <c r="AB59" s="53"/>
      <c r="AC59" s="53"/>
      <c r="AD59" s="53"/>
      <c r="AE59" s="53"/>
    </row>
    <row r="60" spans="1:31" ht="15" customHeight="1">
      <c r="A60" s="119" t="s">
        <v>23</v>
      </c>
      <c r="B60" s="23" t="s">
        <v>20</v>
      </c>
      <c r="C60" s="43" t="s">
        <v>5</v>
      </c>
      <c r="D60" s="43" t="s">
        <v>5</v>
      </c>
      <c r="E60" s="28">
        <v>11.51</v>
      </c>
      <c r="F60" s="28">
        <v>11.51</v>
      </c>
      <c r="G60" s="28">
        <f>H60*180/180</f>
        <v>5.31</v>
      </c>
      <c r="H60" s="29">
        <v>5.31</v>
      </c>
      <c r="I60" s="28">
        <f>J60*180/180</f>
        <v>4.5</v>
      </c>
      <c r="J60" s="29">
        <v>4.5</v>
      </c>
      <c r="K60" s="28">
        <f>L60*180/180</f>
        <v>8.91</v>
      </c>
      <c r="L60" s="29">
        <v>8.91</v>
      </c>
      <c r="M60" s="28">
        <f>N60*180/180</f>
        <v>97.37999999999998</v>
      </c>
      <c r="N60" s="29">
        <v>97.38</v>
      </c>
      <c r="O60" s="28">
        <v>0.07</v>
      </c>
      <c r="P60" s="29">
        <v>0.07</v>
      </c>
      <c r="Q60" s="28">
        <v>0.3</v>
      </c>
      <c r="R60" s="29">
        <v>0.3</v>
      </c>
      <c r="S60" s="28">
        <f>T60*180/180</f>
        <v>2.46</v>
      </c>
      <c r="T60" s="29">
        <v>2.46</v>
      </c>
      <c r="U60" s="28">
        <v>275.74</v>
      </c>
      <c r="V60" s="29">
        <v>275.74</v>
      </c>
      <c r="W60" s="28">
        <v>0.23</v>
      </c>
      <c r="X60" s="29">
        <v>0.23</v>
      </c>
      <c r="Y60" s="57"/>
      <c r="Z60" s="57"/>
      <c r="AA60" s="57"/>
      <c r="AB60" s="57"/>
      <c r="AC60" s="57"/>
      <c r="AD60" s="57"/>
      <c r="AE60" s="53"/>
    </row>
    <row r="61" spans="1:31" ht="15" customHeight="1">
      <c r="A61" s="22"/>
      <c r="B61" s="23" t="s">
        <v>7</v>
      </c>
      <c r="C61" s="43"/>
      <c r="D61" s="43"/>
      <c r="E61" s="17">
        <f>SUM(E60)</f>
        <v>11.51</v>
      </c>
      <c r="F61" s="17">
        <f aca="true" t="shared" si="11" ref="F61:T61">SUM(F60)</f>
        <v>11.51</v>
      </c>
      <c r="G61" s="17">
        <f t="shared" si="11"/>
        <v>5.31</v>
      </c>
      <c r="H61" s="17">
        <f t="shared" si="11"/>
        <v>5.31</v>
      </c>
      <c r="I61" s="17">
        <f t="shared" si="11"/>
        <v>4.5</v>
      </c>
      <c r="J61" s="17">
        <f t="shared" si="11"/>
        <v>4.5</v>
      </c>
      <c r="K61" s="17">
        <f t="shared" si="11"/>
        <v>8.91</v>
      </c>
      <c r="L61" s="17">
        <f t="shared" si="11"/>
        <v>8.91</v>
      </c>
      <c r="M61" s="17">
        <f t="shared" si="11"/>
        <v>97.37999999999998</v>
      </c>
      <c r="N61" s="17">
        <f t="shared" si="11"/>
        <v>97.38</v>
      </c>
      <c r="O61" s="17">
        <f t="shared" si="11"/>
        <v>0.07</v>
      </c>
      <c r="P61" s="17">
        <f t="shared" si="11"/>
        <v>0.07</v>
      </c>
      <c r="Q61" s="17">
        <f t="shared" si="11"/>
        <v>0.3</v>
      </c>
      <c r="R61" s="17">
        <f t="shared" si="11"/>
        <v>0.3</v>
      </c>
      <c r="S61" s="17">
        <f t="shared" si="11"/>
        <v>2.46</v>
      </c>
      <c r="T61" s="17">
        <f t="shared" si="11"/>
        <v>2.46</v>
      </c>
      <c r="U61" s="17">
        <f>SUM(U60)</f>
        <v>275.74</v>
      </c>
      <c r="V61" s="17">
        <f>SUM(V60)</f>
        <v>275.74</v>
      </c>
      <c r="W61" s="17">
        <f>SUM(W60)</f>
        <v>0.23</v>
      </c>
      <c r="X61" s="17">
        <f>SUM(X60)</f>
        <v>0.23</v>
      </c>
      <c r="Y61" s="72">
        <f>SUM(Y60)</f>
        <v>0</v>
      </c>
      <c r="Z61" s="58"/>
      <c r="AA61" s="58"/>
      <c r="AB61" s="58"/>
      <c r="AC61" s="58"/>
      <c r="AD61" s="53"/>
      <c r="AE61" s="53"/>
    </row>
    <row r="62" spans="1:31" ht="15" customHeight="1">
      <c r="A62" s="22"/>
      <c r="B62" s="89" t="s">
        <v>13</v>
      </c>
      <c r="C62" s="43"/>
      <c r="D62" s="43"/>
      <c r="E62" s="28"/>
      <c r="F62" s="28"/>
      <c r="G62" s="28"/>
      <c r="H62" s="29"/>
      <c r="I62" s="29"/>
      <c r="J62" s="29"/>
      <c r="K62" s="29"/>
      <c r="L62" s="29"/>
      <c r="M62" s="29"/>
      <c r="N62" s="29"/>
      <c r="O62" s="41"/>
      <c r="P62" s="41"/>
      <c r="Q62" s="41"/>
      <c r="R62" s="41"/>
      <c r="S62" s="41"/>
      <c r="T62" s="41"/>
      <c r="U62" s="41"/>
      <c r="V62" s="41"/>
      <c r="W62" s="41"/>
      <c r="X62" s="75"/>
      <c r="Y62" s="54"/>
      <c r="Z62" s="53"/>
      <c r="AA62" s="53"/>
      <c r="AB62" s="53"/>
      <c r="AC62" s="53"/>
      <c r="AD62" s="53"/>
      <c r="AE62" s="53"/>
    </row>
    <row r="63" spans="1:31" ht="26.25" customHeight="1">
      <c r="A63" s="22" t="s">
        <v>107</v>
      </c>
      <c r="B63" s="23" t="s">
        <v>177</v>
      </c>
      <c r="C63" s="43" t="s">
        <v>114</v>
      </c>
      <c r="D63" s="43" t="s">
        <v>162</v>
      </c>
      <c r="E63" s="28">
        <v>50.86</v>
      </c>
      <c r="F63" s="28">
        <v>35.32</v>
      </c>
      <c r="G63" s="28">
        <f>H63*150/100</f>
        <v>22.89</v>
      </c>
      <c r="H63" s="29">
        <v>15.26</v>
      </c>
      <c r="I63" s="28">
        <f>J63*150/100</f>
        <v>15.570000000000002</v>
      </c>
      <c r="J63" s="29">
        <v>10.38</v>
      </c>
      <c r="K63" s="28">
        <f>L63*150/100</f>
        <v>41.055</v>
      </c>
      <c r="L63" s="29">
        <v>27.37</v>
      </c>
      <c r="M63" s="28">
        <f>N63*150/100</f>
        <v>396</v>
      </c>
      <c r="N63" s="29">
        <v>264</v>
      </c>
      <c r="O63" s="28">
        <f>P63*150/100</f>
        <v>0.10500000000000002</v>
      </c>
      <c r="P63" s="29">
        <v>0.07</v>
      </c>
      <c r="Q63" s="28">
        <f>R63*150/100</f>
        <v>0.435</v>
      </c>
      <c r="R63" s="29">
        <v>0.29</v>
      </c>
      <c r="S63" s="28">
        <f>T63*150/100</f>
        <v>0.765</v>
      </c>
      <c r="T63" s="29">
        <v>0.51</v>
      </c>
      <c r="U63" s="28">
        <f>V63*150/100</f>
        <v>211.92</v>
      </c>
      <c r="V63" s="29">
        <v>141.28</v>
      </c>
      <c r="W63" s="28">
        <f>X63*150/100</f>
        <v>1.425</v>
      </c>
      <c r="X63" s="29">
        <v>0.95</v>
      </c>
      <c r="Y63" s="1"/>
      <c r="Z63" s="57"/>
      <c r="AA63" s="57"/>
      <c r="AB63" s="57"/>
      <c r="AC63" s="57"/>
      <c r="AD63" s="53"/>
      <c r="AE63" s="53"/>
    </row>
    <row r="64" spans="1:31" ht="15" customHeight="1">
      <c r="A64" s="120" t="s">
        <v>78</v>
      </c>
      <c r="B64" s="67" t="s">
        <v>79</v>
      </c>
      <c r="C64" s="65" t="s">
        <v>5</v>
      </c>
      <c r="D64" s="65" t="s">
        <v>6</v>
      </c>
      <c r="E64" s="61">
        <v>0.58</v>
      </c>
      <c r="F64" s="61">
        <v>0.43</v>
      </c>
      <c r="G64" s="61">
        <v>0.18</v>
      </c>
      <c r="H64" s="62">
        <v>0.13</v>
      </c>
      <c r="I64" s="61">
        <f>J64*200/150</f>
        <v>0</v>
      </c>
      <c r="J64" s="62">
        <v>0</v>
      </c>
      <c r="K64" s="61">
        <v>4.78</v>
      </c>
      <c r="L64" s="62">
        <v>3.58</v>
      </c>
      <c r="M64" s="61">
        <v>19.9</v>
      </c>
      <c r="N64" s="62">
        <v>14.92</v>
      </c>
      <c r="O64" s="61">
        <f>P64*200/150</f>
        <v>0.013333333333333334</v>
      </c>
      <c r="P64" s="69">
        <v>0.01</v>
      </c>
      <c r="Q64" s="61">
        <f>R64*200/150</f>
        <v>0.013333333333333334</v>
      </c>
      <c r="R64" s="69">
        <v>0.01</v>
      </c>
      <c r="S64" s="61">
        <v>0.04</v>
      </c>
      <c r="T64" s="69">
        <v>0.03</v>
      </c>
      <c r="U64" s="61">
        <f>V64*200/150</f>
        <v>5.053333333333334</v>
      </c>
      <c r="V64" s="69">
        <v>3.79</v>
      </c>
      <c r="W64" s="61">
        <f>X64*200/150</f>
        <v>0.84</v>
      </c>
      <c r="X64" s="111">
        <v>0.63</v>
      </c>
      <c r="Y64" s="53"/>
      <c r="Z64" s="53"/>
      <c r="AA64" s="53"/>
      <c r="AB64" s="53"/>
      <c r="AC64" s="53"/>
      <c r="AD64" s="53"/>
      <c r="AE64" s="53"/>
    </row>
    <row r="65" spans="1:31" s="16" customFormat="1" ht="15" customHeight="1">
      <c r="A65" s="119"/>
      <c r="B65" s="23" t="s">
        <v>11</v>
      </c>
      <c r="C65" s="43" t="s">
        <v>14</v>
      </c>
      <c r="D65" s="43" t="s">
        <v>14</v>
      </c>
      <c r="E65" s="28">
        <v>1.22</v>
      </c>
      <c r="F65" s="28">
        <v>1.22</v>
      </c>
      <c r="G65" s="28">
        <v>1.6</v>
      </c>
      <c r="H65" s="28">
        <v>1.6</v>
      </c>
      <c r="I65" s="28">
        <v>0.4</v>
      </c>
      <c r="J65" s="28">
        <v>0.4</v>
      </c>
      <c r="K65" s="28">
        <v>10</v>
      </c>
      <c r="L65" s="28">
        <v>10</v>
      </c>
      <c r="M65" s="29">
        <v>54</v>
      </c>
      <c r="N65" s="29">
        <v>54</v>
      </c>
      <c r="O65" s="42">
        <v>0.04</v>
      </c>
      <c r="P65" s="47">
        <v>0.04</v>
      </c>
      <c r="Q65" s="42">
        <v>0.02</v>
      </c>
      <c r="R65" s="47">
        <v>0.02</v>
      </c>
      <c r="S65" s="42">
        <v>0</v>
      </c>
      <c r="T65" s="47">
        <v>0</v>
      </c>
      <c r="U65" s="42">
        <v>7.4</v>
      </c>
      <c r="V65" s="47">
        <v>7.4</v>
      </c>
      <c r="W65" s="42">
        <v>0.56</v>
      </c>
      <c r="X65" s="47">
        <v>0.56</v>
      </c>
      <c r="Y65" s="56"/>
      <c r="Z65" s="56"/>
      <c r="AA65" s="56"/>
      <c r="AB65" s="56"/>
      <c r="AC65" s="56"/>
      <c r="AD65" s="56"/>
      <c r="AE65" s="56"/>
    </row>
    <row r="66" spans="1:31" ht="15" customHeight="1">
      <c r="A66" s="22"/>
      <c r="B66" s="23" t="s">
        <v>7</v>
      </c>
      <c r="C66" s="43"/>
      <c r="D66" s="43"/>
      <c r="E66" s="17">
        <f>SUM(E63:E65)</f>
        <v>52.66</v>
      </c>
      <c r="F66" s="17">
        <f aca="true" t="shared" si="12" ref="F66:AB66">SUM(F63:F65)</f>
        <v>36.97</v>
      </c>
      <c r="G66" s="17">
        <f t="shared" si="12"/>
        <v>24.67</v>
      </c>
      <c r="H66" s="17">
        <f t="shared" si="12"/>
        <v>16.990000000000002</v>
      </c>
      <c r="I66" s="17">
        <f t="shared" si="12"/>
        <v>15.970000000000002</v>
      </c>
      <c r="J66" s="17">
        <f t="shared" si="12"/>
        <v>10.780000000000001</v>
      </c>
      <c r="K66" s="17">
        <f t="shared" si="12"/>
        <v>55.835</v>
      </c>
      <c r="L66" s="17">
        <f t="shared" si="12"/>
        <v>40.95</v>
      </c>
      <c r="M66" s="17">
        <f t="shared" si="12"/>
        <v>469.9</v>
      </c>
      <c r="N66" s="17">
        <f t="shared" si="12"/>
        <v>332.92</v>
      </c>
      <c r="O66" s="17">
        <f t="shared" si="12"/>
        <v>0.15833333333333335</v>
      </c>
      <c r="P66" s="17">
        <f t="shared" si="12"/>
        <v>0.12</v>
      </c>
      <c r="Q66" s="17">
        <f t="shared" si="12"/>
        <v>0.4683333333333333</v>
      </c>
      <c r="R66" s="17">
        <f t="shared" si="12"/>
        <v>0.32</v>
      </c>
      <c r="S66" s="17">
        <f t="shared" si="12"/>
        <v>0.805</v>
      </c>
      <c r="T66" s="17">
        <f t="shared" si="12"/>
        <v>0.54</v>
      </c>
      <c r="U66" s="17">
        <f t="shared" si="12"/>
        <v>224.37333333333333</v>
      </c>
      <c r="V66" s="17">
        <f t="shared" si="12"/>
        <v>152.47</v>
      </c>
      <c r="W66" s="17">
        <f t="shared" si="12"/>
        <v>2.825</v>
      </c>
      <c r="X66" s="17">
        <f t="shared" si="12"/>
        <v>2.14</v>
      </c>
      <c r="Y66" s="17">
        <f t="shared" si="12"/>
        <v>0</v>
      </c>
      <c r="Z66" s="17">
        <f t="shared" si="12"/>
        <v>0</v>
      </c>
      <c r="AA66" s="17">
        <f t="shared" si="12"/>
        <v>0</v>
      </c>
      <c r="AB66" s="17">
        <f t="shared" si="12"/>
        <v>0</v>
      </c>
      <c r="AC66" s="58"/>
      <c r="AD66" s="53"/>
      <c r="AE66" s="53"/>
    </row>
    <row r="67" spans="1:31" ht="15" customHeight="1">
      <c r="A67" s="22"/>
      <c r="B67" s="23" t="s">
        <v>15</v>
      </c>
      <c r="C67" s="43"/>
      <c r="D67" s="43"/>
      <c r="E67" s="17">
        <f>SUM(E66,E61,E58,E49,E46)</f>
        <v>134.16</v>
      </c>
      <c r="F67" s="17">
        <f aca="true" t="shared" si="13" ref="F67:T67">SUM(F66,F61,F58,F49,F46)</f>
        <v>112.51999999999998</v>
      </c>
      <c r="G67" s="17">
        <f t="shared" si="13"/>
        <v>67.4</v>
      </c>
      <c r="H67" s="17">
        <f t="shared" si="13"/>
        <v>54.79</v>
      </c>
      <c r="I67" s="17">
        <f t="shared" si="13"/>
        <v>54.010000000000005</v>
      </c>
      <c r="J67" s="17">
        <f t="shared" si="13"/>
        <v>41.306</v>
      </c>
      <c r="K67" s="17">
        <f t="shared" si="13"/>
        <v>255.80499999999998</v>
      </c>
      <c r="L67" s="17">
        <f t="shared" si="13"/>
        <v>212.56</v>
      </c>
      <c r="M67" s="17">
        <f t="shared" si="13"/>
        <v>1667.7</v>
      </c>
      <c r="N67" s="17">
        <f t="shared" si="13"/>
        <v>1252.04</v>
      </c>
      <c r="O67" s="17">
        <f t="shared" si="13"/>
        <v>0.7713333333333333</v>
      </c>
      <c r="P67" s="17">
        <f t="shared" si="13"/>
        <v>0.6208333333333333</v>
      </c>
      <c r="Q67" s="17">
        <f t="shared" si="13"/>
        <v>1.3853333333333333</v>
      </c>
      <c r="R67" s="17">
        <f t="shared" si="13"/>
        <v>1.145</v>
      </c>
      <c r="S67" s="17">
        <f t="shared" si="13"/>
        <v>36.385</v>
      </c>
      <c r="T67" s="17">
        <f t="shared" si="13"/>
        <v>32.75</v>
      </c>
      <c r="U67" s="17">
        <f>U66+U61+U58+U49+U46</f>
        <v>901.0863333333334</v>
      </c>
      <c r="V67" s="17">
        <f>V66+V61+V58+V49+V46</f>
        <v>741.9200000000001</v>
      </c>
      <c r="W67" s="17">
        <f>W66+W61+W58+W49+W46</f>
        <v>10.439</v>
      </c>
      <c r="X67" s="17">
        <f>X66+X61+X58+X49+X46</f>
        <v>8.5875</v>
      </c>
      <c r="Y67" s="72">
        <f>Y66+Y61+Y58+Y49+Y46</f>
        <v>0</v>
      </c>
      <c r="Z67" s="58"/>
      <c r="AA67" s="58"/>
      <c r="AB67" s="58"/>
      <c r="AC67" s="58"/>
      <c r="AD67" s="53"/>
      <c r="AE67" s="53"/>
    </row>
    <row r="68" spans="1:31" ht="15" customHeight="1">
      <c r="A68" s="22"/>
      <c r="B68" s="128" t="s">
        <v>152</v>
      </c>
      <c r="C68" s="43"/>
      <c r="D68" s="43"/>
      <c r="E68" s="17"/>
      <c r="F68" s="28"/>
      <c r="G68" s="28"/>
      <c r="H68" s="29"/>
      <c r="I68" s="29"/>
      <c r="J68" s="29"/>
      <c r="K68" s="29"/>
      <c r="L68" s="29"/>
      <c r="M68" s="29"/>
      <c r="N68" s="29"/>
      <c r="O68" s="41"/>
      <c r="P68" s="41"/>
      <c r="Q68" s="41"/>
      <c r="R68" s="41"/>
      <c r="S68" s="41"/>
      <c r="T68" s="41"/>
      <c r="U68" s="41"/>
      <c r="V68" s="41"/>
      <c r="W68" s="41"/>
      <c r="X68" s="75"/>
      <c r="Y68" s="54"/>
      <c r="Z68" s="53"/>
      <c r="AA68" s="53"/>
      <c r="AB68" s="53"/>
      <c r="AC68" s="53"/>
      <c r="AD68" s="53"/>
      <c r="AE68" s="53"/>
    </row>
    <row r="69" spans="1:31" ht="15" customHeight="1">
      <c r="A69" s="22"/>
      <c r="B69" s="89" t="s">
        <v>4</v>
      </c>
      <c r="C69" s="43"/>
      <c r="D69" s="43"/>
      <c r="E69" s="28"/>
      <c r="F69" s="28"/>
      <c r="G69" s="28"/>
      <c r="H69" s="29"/>
      <c r="I69" s="29"/>
      <c r="J69" s="29"/>
      <c r="K69" s="29"/>
      <c r="L69" s="29"/>
      <c r="M69" s="29"/>
      <c r="N69" s="29"/>
      <c r="O69" s="41"/>
      <c r="P69" s="41"/>
      <c r="Q69" s="41"/>
      <c r="R69" s="41"/>
      <c r="S69" s="41"/>
      <c r="T69" s="41"/>
      <c r="U69" s="41"/>
      <c r="V69" s="41"/>
      <c r="W69" s="41"/>
      <c r="X69" s="75"/>
      <c r="Y69" s="54"/>
      <c r="Z69" s="53"/>
      <c r="AA69" s="53"/>
      <c r="AB69" s="53"/>
      <c r="AC69" s="53"/>
      <c r="AD69" s="53"/>
      <c r="AE69" s="53"/>
    </row>
    <row r="70" spans="1:30" s="1" customFormat="1" ht="14.25" customHeight="1">
      <c r="A70" s="119" t="s">
        <v>60</v>
      </c>
      <c r="B70" s="23" t="s">
        <v>143</v>
      </c>
      <c r="C70" s="43" t="s">
        <v>144</v>
      </c>
      <c r="D70" s="43" t="s">
        <v>144</v>
      </c>
      <c r="E70" s="28">
        <v>7.11</v>
      </c>
      <c r="F70" s="28">
        <v>7.11</v>
      </c>
      <c r="G70" s="28">
        <v>2.93</v>
      </c>
      <c r="H70" s="29">
        <v>2.93</v>
      </c>
      <c r="I70" s="28">
        <v>6.05</v>
      </c>
      <c r="J70" s="29">
        <v>6.05</v>
      </c>
      <c r="K70" s="28">
        <v>10.4</v>
      </c>
      <c r="L70" s="29">
        <v>10.4</v>
      </c>
      <c r="M70" s="28">
        <v>107.77</v>
      </c>
      <c r="N70" s="29">
        <v>107.77</v>
      </c>
      <c r="O70" s="29">
        <v>0.08</v>
      </c>
      <c r="P70" s="29">
        <f>O70*40/60</f>
        <v>0.05333333333333334</v>
      </c>
      <c r="Q70" s="29">
        <v>0.06</v>
      </c>
      <c r="R70" s="29">
        <f>Q70*40/60</f>
        <v>0.04</v>
      </c>
      <c r="S70" s="28">
        <v>0.14</v>
      </c>
      <c r="T70" s="29">
        <v>0.14</v>
      </c>
      <c r="U70" s="29">
        <v>70.8</v>
      </c>
      <c r="V70" s="29">
        <f>U70*40/60</f>
        <v>47.2</v>
      </c>
      <c r="W70" s="29">
        <v>0.81</v>
      </c>
      <c r="X70" s="74">
        <f>W70*40/60</f>
        <v>0.5400000000000001</v>
      </c>
      <c r="Y70" s="59"/>
      <c r="Z70" s="57"/>
      <c r="AA70" s="57"/>
      <c r="AB70" s="57"/>
      <c r="AC70" s="57"/>
      <c r="AD70" s="57"/>
    </row>
    <row r="71" spans="1:31" ht="24.75" customHeight="1">
      <c r="A71" s="120" t="s">
        <v>175</v>
      </c>
      <c r="B71" s="64" t="s">
        <v>176</v>
      </c>
      <c r="C71" s="109" t="s">
        <v>80</v>
      </c>
      <c r="D71" s="109" t="s">
        <v>81</v>
      </c>
      <c r="E71" s="158">
        <v>15.57</v>
      </c>
      <c r="F71" s="158">
        <v>11.82</v>
      </c>
      <c r="G71" s="158">
        <v>9.45</v>
      </c>
      <c r="H71" s="158">
        <v>7.09</v>
      </c>
      <c r="I71" s="158">
        <v>15.67</v>
      </c>
      <c r="J71" s="158">
        <v>12.37</v>
      </c>
      <c r="K71" s="158">
        <v>44.3</v>
      </c>
      <c r="L71" s="158">
        <v>33.23</v>
      </c>
      <c r="M71" s="158">
        <v>342.8</v>
      </c>
      <c r="N71" s="158">
        <v>262.74</v>
      </c>
      <c r="O71" s="152">
        <v>0.1</v>
      </c>
      <c r="P71" s="159">
        <f>O71*150/200</f>
        <v>0.075</v>
      </c>
      <c r="Q71" s="152">
        <v>0.25</v>
      </c>
      <c r="R71" s="159">
        <f>Q71*150/200</f>
        <v>0.1875</v>
      </c>
      <c r="S71" s="152">
        <v>1.65</v>
      </c>
      <c r="T71" s="158">
        <v>1.24</v>
      </c>
      <c r="U71" s="66">
        <v>175.2</v>
      </c>
      <c r="V71" s="62">
        <v>164.9</v>
      </c>
      <c r="W71" s="66">
        <v>0.9</v>
      </c>
      <c r="X71" s="81">
        <f>W71*150/200</f>
        <v>0.675</v>
      </c>
      <c r="Y71" s="53"/>
      <c r="Z71" s="53"/>
      <c r="AA71" s="53"/>
      <c r="AB71" s="53"/>
      <c r="AC71" s="53"/>
      <c r="AD71" s="53"/>
      <c r="AE71" s="53"/>
    </row>
    <row r="72" spans="1:31" ht="15.75" customHeight="1">
      <c r="A72" s="119" t="s">
        <v>50</v>
      </c>
      <c r="B72" s="23" t="s">
        <v>52</v>
      </c>
      <c r="C72" s="43" t="s">
        <v>31</v>
      </c>
      <c r="D72" s="43" t="s">
        <v>6</v>
      </c>
      <c r="E72" s="28">
        <v>6.07</v>
      </c>
      <c r="F72" s="28">
        <v>4.88</v>
      </c>
      <c r="G72" s="28">
        <v>2.85</v>
      </c>
      <c r="H72" s="29">
        <v>2.34</v>
      </c>
      <c r="I72" s="28">
        <v>2.41</v>
      </c>
      <c r="J72" s="29">
        <v>2</v>
      </c>
      <c r="K72" s="28">
        <v>14.36</v>
      </c>
      <c r="L72" s="29">
        <v>10.63</v>
      </c>
      <c r="M72" s="28">
        <v>91</v>
      </c>
      <c r="N72" s="29">
        <v>70</v>
      </c>
      <c r="O72" s="28">
        <f>P72*180/150</f>
        <v>0.012</v>
      </c>
      <c r="P72" s="44">
        <v>0.01</v>
      </c>
      <c r="Q72" s="28">
        <f>R72*180/150</f>
        <v>0.084</v>
      </c>
      <c r="R72" s="44">
        <v>0.07</v>
      </c>
      <c r="S72" s="28">
        <v>1.17</v>
      </c>
      <c r="T72" s="29">
        <f>S72*150/180</f>
        <v>0.975</v>
      </c>
      <c r="U72" s="28">
        <f>V72*180/150</f>
        <v>57.516</v>
      </c>
      <c r="V72" s="44">
        <v>47.93</v>
      </c>
      <c r="W72" s="28">
        <f>X72*180/150</f>
        <v>0.264</v>
      </c>
      <c r="X72" s="44">
        <v>0.22</v>
      </c>
      <c r="Y72" s="53"/>
      <c r="Z72" s="53"/>
      <c r="AA72" s="53"/>
      <c r="AB72" s="53"/>
      <c r="AC72" s="53"/>
      <c r="AD72" s="53"/>
      <c r="AE72" s="53"/>
    </row>
    <row r="73" spans="1:31" ht="15" customHeight="1">
      <c r="A73" s="22"/>
      <c r="B73" s="23" t="s">
        <v>7</v>
      </c>
      <c r="C73" s="43"/>
      <c r="D73" s="43"/>
      <c r="E73" s="17">
        <f>SUM(E70:E72)</f>
        <v>28.75</v>
      </c>
      <c r="F73" s="17">
        <f aca="true" t="shared" si="14" ref="F73:T73">SUM(F70:F72)</f>
        <v>23.81</v>
      </c>
      <c r="G73" s="17">
        <f t="shared" si="14"/>
        <v>15.229999999999999</v>
      </c>
      <c r="H73" s="17">
        <f t="shared" si="14"/>
        <v>12.36</v>
      </c>
      <c r="I73" s="17">
        <f t="shared" si="14"/>
        <v>24.13</v>
      </c>
      <c r="J73" s="17">
        <f t="shared" si="14"/>
        <v>20.419999999999998</v>
      </c>
      <c r="K73" s="17">
        <f t="shared" si="14"/>
        <v>69.06</v>
      </c>
      <c r="L73" s="17">
        <f t="shared" si="14"/>
        <v>54.26</v>
      </c>
      <c r="M73" s="17">
        <f t="shared" si="14"/>
        <v>541.5699999999999</v>
      </c>
      <c r="N73" s="17">
        <f t="shared" si="14"/>
        <v>440.51</v>
      </c>
      <c r="O73" s="17">
        <f t="shared" si="14"/>
        <v>0.192</v>
      </c>
      <c r="P73" s="17">
        <f t="shared" si="14"/>
        <v>0.13833333333333334</v>
      </c>
      <c r="Q73" s="17">
        <f t="shared" si="14"/>
        <v>0.394</v>
      </c>
      <c r="R73" s="17">
        <f t="shared" si="14"/>
        <v>0.2975</v>
      </c>
      <c r="S73" s="17">
        <f t="shared" si="14"/>
        <v>2.96</v>
      </c>
      <c r="T73" s="17">
        <f t="shared" si="14"/>
        <v>2.355</v>
      </c>
      <c r="U73" s="17">
        <f aca="true" t="shared" si="15" ref="U73:AB73">SUM(U70:U72)</f>
        <v>303.516</v>
      </c>
      <c r="V73" s="17">
        <f t="shared" si="15"/>
        <v>260.03000000000003</v>
      </c>
      <c r="W73" s="17">
        <f t="shared" si="15"/>
        <v>1.974</v>
      </c>
      <c r="X73" s="17">
        <f t="shared" si="15"/>
        <v>1.4350000000000003</v>
      </c>
      <c r="Y73" s="17">
        <f t="shared" si="15"/>
        <v>0</v>
      </c>
      <c r="Z73" s="17">
        <f t="shared" si="15"/>
        <v>0</v>
      </c>
      <c r="AA73" s="17">
        <f t="shared" si="15"/>
        <v>0</v>
      </c>
      <c r="AB73" s="17">
        <f t="shared" si="15"/>
        <v>0</v>
      </c>
      <c r="AC73" s="58"/>
      <c r="AD73" s="58"/>
      <c r="AE73" s="53"/>
    </row>
    <row r="74" spans="1:31" ht="15" customHeight="1">
      <c r="A74" s="22"/>
      <c r="B74" s="89" t="s">
        <v>16</v>
      </c>
      <c r="C74" s="43"/>
      <c r="D74" s="43"/>
      <c r="E74" s="28"/>
      <c r="F74" s="28"/>
      <c r="G74" s="28"/>
      <c r="H74" s="29"/>
      <c r="I74" s="29"/>
      <c r="J74" s="29"/>
      <c r="K74" s="29"/>
      <c r="L74" s="29"/>
      <c r="M74" s="29"/>
      <c r="N74" s="29"/>
      <c r="O74" s="41"/>
      <c r="P74" s="41"/>
      <c r="Q74" s="41"/>
      <c r="R74" s="41"/>
      <c r="S74" s="41"/>
      <c r="T74" s="41"/>
      <c r="U74" s="41"/>
      <c r="V74" s="41"/>
      <c r="W74" s="41"/>
      <c r="X74" s="75"/>
      <c r="Y74" s="54"/>
      <c r="Z74" s="53"/>
      <c r="AA74" s="53"/>
      <c r="AB74" s="53"/>
      <c r="AC74" s="53"/>
      <c r="AD74" s="53"/>
      <c r="AE74" s="53"/>
    </row>
    <row r="75" spans="1:30" ht="15" customHeight="1">
      <c r="A75" s="120" t="s">
        <v>25</v>
      </c>
      <c r="B75" s="64" t="s">
        <v>70</v>
      </c>
      <c r="C75" s="65" t="s">
        <v>31</v>
      </c>
      <c r="D75" s="65" t="s">
        <v>6</v>
      </c>
      <c r="E75" s="61">
        <v>14.83</v>
      </c>
      <c r="F75" s="61">
        <v>12.36</v>
      </c>
      <c r="G75" s="66">
        <v>5.4</v>
      </c>
      <c r="H75" s="66">
        <f>G75*150/180</f>
        <v>4.5</v>
      </c>
      <c r="I75" s="66">
        <v>4.51</v>
      </c>
      <c r="J75" s="66">
        <f>I75*150/180</f>
        <v>3.7583333333333333</v>
      </c>
      <c r="K75" s="66">
        <v>7.2</v>
      </c>
      <c r="L75" s="66">
        <f>K75*150/180</f>
        <v>6</v>
      </c>
      <c r="M75" s="66">
        <v>90.91</v>
      </c>
      <c r="N75" s="66">
        <f>M75*150/180</f>
        <v>75.75833333333334</v>
      </c>
      <c r="O75" s="66">
        <f>P75*180/150</f>
        <v>0.06</v>
      </c>
      <c r="P75" s="66">
        <v>0.05</v>
      </c>
      <c r="Q75" s="66">
        <f>R75*180/150</f>
        <v>0.31200000000000006</v>
      </c>
      <c r="R75" s="66">
        <v>0.26</v>
      </c>
      <c r="S75" s="66">
        <v>1.32</v>
      </c>
      <c r="T75" s="66">
        <f>S75*150/180</f>
        <v>1.1</v>
      </c>
      <c r="U75" s="28">
        <v>235.31</v>
      </c>
      <c r="V75" s="29">
        <f>U75*150/180</f>
        <v>196.09166666666667</v>
      </c>
      <c r="W75" s="28">
        <v>0.19</v>
      </c>
      <c r="X75" s="74">
        <f>W75*150/180</f>
        <v>0.15833333333333333</v>
      </c>
      <c r="Y75" s="59"/>
      <c r="Z75" s="57"/>
      <c r="AA75" s="57"/>
      <c r="AB75" s="57"/>
      <c r="AC75" s="57"/>
      <c r="AD75" s="57"/>
    </row>
    <row r="76" spans="1:31" ht="15" customHeight="1">
      <c r="A76" s="22"/>
      <c r="B76" s="23" t="s">
        <v>7</v>
      </c>
      <c r="C76" s="43"/>
      <c r="D76" s="43"/>
      <c r="E76" s="17">
        <f>SUM(E75)</f>
        <v>14.83</v>
      </c>
      <c r="F76" s="17">
        <f aca="true" t="shared" si="16" ref="F76:T76">SUM(F75)</f>
        <v>12.36</v>
      </c>
      <c r="G76" s="17">
        <f t="shared" si="16"/>
        <v>5.4</v>
      </c>
      <c r="H76" s="17">
        <f t="shared" si="16"/>
        <v>4.5</v>
      </c>
      <c r="I76" s="17">
        <f t="shared" si="16"/>
        <v>4.51</v>
      </c>
      <c r="J76" s="17">
        <f t="shared" si="16"/>
        <v>3.7583333333333333</v>
      </c>
      <c r="K76" s="17">
        <f t="shared" si="16"/>
        <v>7.2</v>
      </c>
      <c r="L76" s="17">
        <f t="shared" si="16"/>
        <v>6</v>
      </c>
      <c r="M76" s="17">
        <f t="shared" si="16"/>
        <v>90.91</v>
      </c>
      <c r="N76" s="17">
        <f t="shared" si="16"/>
        <v>75.75833333333334</v>
      </c>
      <c r="O76" s="17">
        <f t="shared" si="16"/>
        <v>0.06</v>
      </c>
      <c r="P76" s="17">
        <f t="shared" si="16"/>
        <v>0.05</v>
      </c>
      <c r="Q76" s="17">
        <f t="shared" si="16"/>
        <v>0.31200000000000006</v>
      </c>
      <c r="R76" s="17">
        <f t="shared" si="16"/>
        <v>0.26</v>
      </c>
      <c r="S76" s="17">
        <f t="shared" si="16"/>
        <v>1.32</v>
      </c>
      <c r="T76" s="17">
        <f t="shared" si="16"/>
        <v>1.1</v>
      </c>
      <c r="U76" s="17">
        <f>SUM(U75)</f>
        <v>235.31</v>
      </c>
      <c r="V76" s="17">
        <f>SUM(V75)</f>
        <v>196.09166666666667</v>
      </c>
      <c r="W76" s="17">
        <f>SUM(W75)</f>
        <v>0.19</v>
      </c>
      <c r="X76" s="17">
        <f>SUM(X75)</f>
        <v>0.15833333333333333</v>
      </c>
      <c r="Y76" s="72">
        <f>SUM(Y75)</f>
        <v>0</v>
      </c>
      <c r="Z76" s="58"/>
      <c r="AA76" s="58"/>
      <c r="AB76" s="58"/>
      <c r="AC76" s="58"/>
      <c r="AD76" s="53"/>
      <c r="AE76" s="53"/>
    </row>
    <row r="77" spans="1:31" ht="15" customHeight="1">
      <c r="A77" s="22"/>
      <c r="B77" s="89" t="s">
        <v>9</v>
      </c>
      <c r="C77" s="43"/>
      <c r="D77" s="43"/>
      <c r="E77" s="28"/>
      <c r="F77" s="28"/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74"/>
      <c r="Y77" s="59"/>
      <c r="Z77" s="57"/>
      <c r="AA77" s="57"/>
      <c r="AB77" s="57"/>
      <c r="AC77" s="57"/>
      <c r="AD77" s="53"/>
      <c r="AE77" s="53"/>
    </row>
    <row r="78" spans="1:24" ht="12.75">
      <c r="A78" s="124" t="s">
        <v>98</v>
      </c>
      <c r="B78" s="23" t="s">
        <v>99</v>
      </c>
      <c r="C78" s="43" t="s">
        <v>30</v>
      </c>
      <c r="D78" s="43" t="s">
        <v>87</v>
      </c>
      <c r="E78" s="28">
        <v>2.11</v>
      </c>
      <c r="F78" s="28">
        <v>1.76</v>
      </c>
      <c r="G78" s="136">
        <f>H78*60/50</f>
        <v>0.6</v>
      </c>
      <c r="H78" s="137">
        <v>0.5</v>
      </c>
      <c r="I78" s="136">
        <f>J78*60/50</f>
        <v>3.6</v>
      </c>
      <c r="J78" s="137">
        <v>3</v>
      </c>
      <c r="K78" s="136">
        <f>L78*60/50</f>
        <v>4.8</v>
      </c>
      <c r="L78" s="137">
        <v>4</v>
      </c>
      <c r="M78" s="136">
        <f>N78*60/50</f>
        <v>54</v>
      </c>
      <c r="N78" s="137">
        <v>45</v>
      </c>
      <c r="O78" s="136">
        <v>0.01</v>
      </c>
      <c r="P78" s="137">
        <v>0</v>
      </c>
      <c r="Q78" s="136">
        <v>0.02</v>
      </c>
      <c r="R78" s="137">
        <v>0</v>
      </c>
      <c r="S78" s="136">
        <f>T78*60/50</f>
        <v>5.172</v>
      </c>
      <c r="T78" s="137">
        <v>4.31</v>
      </c>
      <c r="U78" s="136">
        <v>20.69</v>
      </c>
      <c r="V78" s="137">
        <v>0</v>
      </c>
      <c r="W78" s="136">
        <v>0.78</v>
      </c>
      <c r="X78" s="137">
        <v>0</v>
      </c>
    </row>
    <row r="79" spans="1:31" s="7" customFormat="1" ht="25.5">
      <c r="A79" s="120" t="s">
        <v>93</v>
      </c>
      <c r="B79" s="67" t="s">
        <v>129</v>
      </c>
      <c r="C79" s="65" t="s">
        <v>130</v>
      </c>
      <c r="D79" s="65" t="s">
        <v>131</v>
      </c>
      <c r="E79" s="61">
        <v>13.81</v>
      </c>
      <c r="F79" s="61">
        <v>12.94</v>
      </c>
      <c r="G79" s="66">
        <v>5.49</v>
      </c>
      <c r="H79" s="66">
        <v>5.09</v>
      </c>
      <c r="I79" s="66">
        <v>8.19</v>
      </c>
      <c r="J79" s="66">
        <v>7.33</v>
      </c>
      <c r="K79" s="66">
        <v>8.16</v>
      </c>
      <c r="L79" s="66">
        <v>6.16</v>
      </c>
      <c r="M79" s="66">
        <v>128.31</v>
      </c>
      <c r="N79" s="66">
        <v>110.97</v>
      </c>
      <c r="O79" s="62">
        <v>0.11</v>
      </c>
      <c r="P79" s="62">
        <v>0.12</v>
      </c>
      <c r="Q79" s="62">
        <v>0.09</v>
      </c>
      <c r="R79" s="62">
        <v>0.1</v>
      </c>
      <c r="S79" s="66">
        <v>15.06</v>
      </c>
      <c r="T79" s="62">
        <v>11.37</v>
      </c>
      <c r="U79" s="62">
        <v>27.92</v>
      </c>
      <c r="V79" s="62">
        <v>23.55</v>
      </c>
      <c r="W79" s="62">
        <v>1.84</v>
      </c>
      <c r="X79" s="62">
        <v>2.01</v>
      </c>
      <c r="Z79" s="76"/>
      <c r="AA79" s="76"/>
      <c r="AB79" s="76"/>
      <c r="AC79" s="76"/>
      <c r="AD79" s="76"/>
      <c r="AE79" s="76"/>
    </row>
    <row r="80" spans="1:25" ht="22.5" customHeight="1">
      <c r="A80" s="154" t="s">
        <v>171</v>
      </c>
      <c r="B80" s="25" t="s">
        <v>172</v>
      </c>
      <c r="C80" s="43" t="s">
        <v>30</v>
      </c>
      <c r="D80" s="43" t="s">
        <v>30</v>
      </c>
      <c r="E80" s="28">
        <v>14.28</v>
      </c>
      <c r="F80" s="28">
        <v>14.28</v>
      </c>
      <c r="G80" s="40">
        <v>9.1</v>
      </c>
      <c r="H80" s="40">
        <v>9.1</v>
      </c>
      <c r="I80" s="40">
        <v>10.5</v>
      </c>
      <c r="J80" s="40">
        <v>10.5</v>
      </c>
      <c r="K80" s="40">
        <v>8.8</v>
      </c>
      <c r="L80" s="40">
        <v>8.8</v>
      </c>
      <c r="M80" s="40">
        <v>166</v>
      </c>
      <c r="N80" s="40">
        <v>166</v>
      </c>
      <c r="O80" s="29">
        <v>0.05</v>
      </c>
      <c r="P80" s="155">
        <v>0.05</v>
      </c>
      <c r="Q80" s="29">
        <v>0.1</v>
      </c>
      <c r="R80" s="29">
        <v>0.1</v>
      </c>
      <c r="S80" s="29">
        <v>0</v>
      </c>
      <c r="T80" s="29">
        <v>0</v>
      </c>
      <c r="U80" s="29">
        <v>13.81</v>
      </c>
      <c r="V80" s="29">
        <v>13.81</v>
      </c>
      <c r="W80" s="29">
        <v>1.51</v>
      </c>
      <c r="X80" s="155">
        <v>1.51</v>
      </c>
      <c r="Y80" s="1"/>
    </row>
    <row r="81" spans="1:31" ht="15" customHeight="1">
      <c r="A81" s="120" t="s">
        <v>29</v>
      </c>
      <c r="B81" s="67" t="s">
        <v>27</v>
      </c>
      <c r="C81" s="65" t="s">
        <v>6</v>
      </c>
      <c r="D81" s="65" t="s">
        <v>72</v>
      </c>
      <c r="E81" s="144">
        <v>4.4</v>
      </c>
      <c r="F81" s="144">
        <v>3.81</v>
      </c>
      <c r="G81" s="62">
        <f>H81*150/130</f>
        <v>5.734615384615385</v>
      </c>
      <c r="H81" s="62">
        <v>4.97</v>
      </c>
      <c r="I81" s="62">
        <f>J81*150/130</f>
        <v>5.088461538461538</v>
      </c>
      <c r="J81" s="62">
        <v>4.41</v>
      </c>
      <c r="K81" s="62">
        <f>L81*150/130</f>
        <v>31.18846153846154</v>
      </c>
      <c r="L81" s="62">
        <v>27.03</v>
      </c>
      <c r="M81" s="62">
        <f>N81*150/130</f>
        <v>193.5</v>
      </c>
      <c r="N81" s="62">
        <v>167.7</v>
      </c>
      <c r="O81" s="66">
        <v>0.09</v>
      </c>
      <c r="P81" s="62">
        <f>O81/1.5</f>
        <v>0.06</v>
      </c>
      <c r="Q81" s="66">
        <v>0.06</v>
      </c>
      <c r="R81" s="62">
        <f>Q81/1.5</f>
        <v>0.04</v>
      </c>
      <c r="S81" s="66">
        <v>0</v>
      </c>
      <c r="T81" s="62">
        <f>S81/1.5</f>
        <v>0</v>
      </c>
      <c r="U81" s="66">
        <v>12.89</v>
      </c>
      <c r="V81" s="62">
        <f>U81/1.5</f>
        <v>8.593333333333334</v>
      </c>
      <c r="W81" s="66">
        <v>0.78</v>
      </c>
      <c r="X81" s="81">
        <f>W81/1.5</f>
        <v>0.52</v>
      </c>
      <c r="Y81" s="53"/>
      <c r="Z81" s="53"/>
      <c r="AA81" s="53"/>
      <c r="AB81" s="53"/>
      <c r="AC81" s="53"/>
      <c r="AD81" s="53"/>
      <c r="AE81" s="53"/>
    </row>
    <row r="82" spans="1:31" ht="15.75" customHeight="1">
      <c r="A82" s="119" t="s">
        <v>94</v>
      </c>
      <c r="B82" s="23" t="s">
        <v>95</v>
      </c>
      <c r="C82" s="43" t="s">
        <v>5</v>
      </c>
      <c r="D82" s="43" t="s">
        <v>6</v>
      </c>
      <c r="E82" s="28">
        <v>3.22</v>
      </c>
      <c r="F82" s="28">
        <v>2.41</v>
      </c>
      <c r="G82" s="40">
        <v>1.2</v>
      </c>
      <c r="H82" s="44">
        <v>0.9</v>
      </c>
      <c r="I82" s="40">
        <f>J82*200/150</f>
        <v>0</v>
      </c>
      <c r="J82" s="44">
        <v>0</v>
      </c>
      <c r="K82" s="40">
        <v>31.6</v>
      </c>
      <c r="L82" s="44">
        <v>23.7</v>
      </c>
      <c r="M82" s="40">
        <v>126</v>
      </c>
      <c r="N82" s="44">
        <v>94.5</v>
      </c>
      <c r="O82" s="29">
        <v>0.02</v>
      </c>
      <c r="P82" s="29">
        <f>O82*150/200</f>
        <v>0.015</v>
      </c>
      <c r="Q82" s="29">
        <v>0.01</v>
      </c>
      <c r="R82" s="29">
        <f>Q82*150/200</f>
        <v>0.0075</v>
      </c>
      <c r="S82" s="29">
        <v>0</v>
      </c>
      <c r="T82" s="62">
        <v>0</v>
      </c>
      <c r="U82" s="69">
        <v>25.91</v>
      </c>
      <c r="V82" s="62">
        <f>U82*150/200</f>
        <v>19.4325</v>
      </c>
      <c r="W82" s="69">
        <v>0.65</v>
      </c>
      <c r="X82" s="81">
        <f>W82*150/200</f>
        <v>0.4875</v>
      </c>
      <c r="Y82" s="53"/>
      <c r="Z82" s="53"/>
      <c r="AA82" s="53"/>
      <c r="AB82" s="53"/>
      <c r="AC82" s="53"/>
      <c r="AD82" s="53"/>
      <c r="AE82" s="53"/>
    </row>
    <row r="83" spans="1:31" s="16" customFormat="1" ht="15" customHeight="1">
      <c r="A83" s="119"/>
      <c r="B83" s="23" t="s">
        <v>11</v>
      </c>
      <c r="C83" s="43" t="s">
        <v>14</v>
      </c>
      <c r="D83" s="43" t="s">
        <v>14</v>
      </c>
      <c r="E83" s="28">
        <v>1.22</v>
      </c>
      <c r="F83" s="28">
        <v>1.22</v>
      </c>
      <c r="G83" s="28">
        <v>1.6</v>
      </c>
      <c r="H83" s="28">
        <v>1.6</v>
      </c>
      <c r="I83" s="28">
        <v>0.4</v>
      </c>
      <c r="J83" s="28">
        <v>0.4</v>
      </c>
      <c r="K83" s="28">
        <v>10</v>
      </c>
      <c r="L83" s="28">
        <v>10</v>
      </c>
      <c r="M83" s="29">
        <v>54</v>
      </c>
      <c r="N83" s="29">
        <v>54</v>
      </c>
      <c r="O83" s="42">
        <v>0.04</v>
      </c>
      <c r="P83" s="47">
        <v>0.04</v>
      </c>
      <c r="Q83" s="42">
        <v>0.02</v>
      </c>
      <c r="R83" s="47">
        <v>0.02</v>
      </c>
      <c r="S83" s="42">
        <v>0</v>
      </c>
      <c r="T83" s="47">
        <v>0</v>
      </c>
      <c r="U83" s="42">
        <v>7.4</v>
      </c>
      <c r="V83" s="47">
        <v>7.4</v>
      </c>
      <c r="W83" s="42">
        <v>0.56</v>
      </c>
      <c r="X83" s="47">
        <v>0.56</v>
      </c>
      <c r="Y83" s="56"/>
      <c r="Z83" s="56"/>
      <c r="AA83" s="56"/>
      <c r="AB83" s="56"/>
      <c r="AC83" s="56"/>
      <c r="AD83" s="56"/>
      <c r="AE83" s="56"/>
    </row>
    <row r="84" spans="1:31" ht="15" customHeight="1">
      <c r="A84" s="119"/>
      <c r="B84" s="23" t="s">
        <v>47</v>
      </c>
      <c r="C84" s="43" t="s">
        <v>73</v>
      </c>
      <c r="D84" s="43" t="s">
        <v>74</v>
      </c>
      <c r="E84" s="28">
        <v>2.3</v>
      </c>
      <c r="F84" s="28">
        <v>2.01</v>
      </c>
      <c r="G84" s="28">
        <v>3.25</v>
      </c>
      <c r="H84" s="29">
        <v>2.84</v>
      </c>
      <c r="I84" s="29">
        <v>0.46</v>
      </c>
      <c r="J84" s="29">
        <f>I84*40.6/46</f>
        <v>0.406</v>
      </c>
      <c r="K84" s="29">
        <v>20.88</v>
      </c>
      <c r="L84" s="29">
        <v>18.27</v>
      </c>
      <c r="M84" s="29">
        <v>102.08</v>
      </c>
      <c r="N84" s="29">
        <v>89.32</v>
      </c>
      <c r="O84" s="40">
        <v>0.06</v>
      </c>
      <c r="P84" s="44">
        <v>0.04</v>
      </c>
      <c r="Q84" s="40">
        <v>0.04</v>
      </c>
      <c r="R84" s="44">
        <v>0.03</v>
      </c>
      <c r="S84" s="40">
        <v>0</v>
      </c>
      <c r="T84" s="29">
        <f>S84*40.6/46</f>
        <v>0</v>
      </c>
      <c r="U84" s="42">
        <v>17</v>
      </c>
      <c r="V84" s="47">
        <v>13.6</v>
      </c>
      <c r="W84" s="42">
        <v>1.15</v>
      </c>
      <c r="X84" s="47">
        <v>0.92</v>
      </c>
      <c r="Y84" s="53"/>
      <c r="Z84" s="53"/>
      <c r="AA84" s="53"/>
      <c r="AB84" s="53"/>
      <c r="AC84" s="53"/>
      <c r="AD84" s="53"/>
      <c r="AE84" s="53"/>
    </row>
    <row r="85" spans="1:31" ht="15" customHeight="1">
      <c r="A85" s="22"/>
      <c r="B85" s="23" t="s">
        <v>7</v>
      </c>
      <c r="C85" s="43"/>
      <c r="D85" s="43"/>
      <c r="E85" s="17">
        <f>SUM(E78:E84)</f>
        <v>41.339999999999996</v>
      </c>
      <c r="F85" s="17">
        <f aca="true" t="shared" si="17" ref="F85:R85">SUM(F78:F84)</f>
        <v>38.43</v>
      </c>
      <c r="G85" s="17">
        <f t="shared" si="17"/>
        <v>26.974615384615387</v>
      </c>
      <c r="H85" s="17">
        <f t="shared" si="17"/>
        <v>25</v>
      </c>
      <c r="I85" s="17">
        <f>SUM(I78:I84)-10</f>
        <v>18.238461538461536</v>
      </c>
      <c r="J85" s="17">
        <f>SUM(J78:J84)-10</f>
        <v>16.045999999999996</v>
      </c>
      <c r="K85" s="17">
        <f t="shared" si="17"/>
        <v>115.42846153846153</v>
      </c>
      <c r="L85" s="17">
        <f t="shared" si="17"/>
        <v>97.96</v>
      </c>
      <c r="M85" s="17">
        <f>SUM(M78:M84)-200</f>
        <v>623.89</v>
      </c>
      <c r="N85" s="17">
        <f>SUM(N78:N84)-200</f>
        <v>527.49</v>
      </c>
      <c r="O85" s="17">
        <f t="shared" si="17"/>
        <v>0.38</v>
      </c>
      <c r="P85" s="17">
        <f t="shared" si="17"/>
        <v>0.32499999999999996</v>
      </c>
      <c r="Q85" s="17">
        <f t="shared" si="17"/>
        <v>0.34</v>
      </c>
      <c r="R85" s="17">
        <f t="shared" si="17"/>
        <v>0.2975</v>
      </c>
      <c r="S85" s="17">
        <f>SUM(S78:S84)-5</f>
        <v>15.232</v>
      </c>
      <c r="T85" s="17">
        <f>SUM(T78:T84)-5</f>
        <v>10.68</v>
      </c>
      <c r="U85" s="17">
        <f>SUM(U78:U84)</f>
        <v>125.62</v>
      </c>
      <c r="V85" s="17">
        <f>SUM(V78:V84)</f>
        <v>86.38583333333334</v>
      </c>
      <c r="W85" s="17">
        <f>SUM(W78:W84)-2</f>
        <v>5.270000000000001</v>
      </c>
      <c r="X85" s="72">
        <f>SUM(X78:X84)-2</f>
        <v>4.0074999999999985</v>
      </c>
      <c r="Y85" s="63"/>
      <c r="Z85" s="58"/>
      <c r="AA85" s="58"/>
      <c r="AB85" s="58"/>
      <c r="AC85" s="58"/>
      <c r="AD85" s="53"/>
      <c r="AE85" s="53"/>
    </row>
    <row r="86" spans="1:31" ht="15" customHeight="1">
      <c r="A86" s="22"/>
      <c r="B86" s="89" t="s">
        <v>17</v>
      </c>
      <c r="C86" s="43"/>
      <c r="D86" s="43"/>
      <c r="E86" s="28"/>
      <c r="F86" s="28"/>
      <c r="G86" s="28"/>
      <c r="H86" s="29"/>
      <c r="I86" s="29"/>
      <c r="J86" s="29"/>
      <c r="K86" s="29"/>
      <c r="L86" s="29"/>
      <c r="M86" s="29"/>
      <c r="N86" s="29"/>
      <c r="O86" s="41"/>
      <c r="P86" s="41"/>
      <c r="Q86" s="41"/>
      <c r="R86" s="41"/>
      <c r="S86" s="41"/>
      <c r="T86" s="41"/>
      <c r="U86" s="41"/>
      <c r="V86" s="41"/>
      <c r="W86" s="41"/>
      <c r="X86" s="75"/>
      <c r="Y86" s="54"/>
      <c r="Z86" s="53"/>
      <c r="AA86" s="53"/>
      <c r="AB86" s="53"/>
      <c r="AC86" s="53"/>
      <c r="AD86" s="53"/>
      <c r="AE86" s="53"/>
    </row>
    <row r="87" spans="1:31" ht="15" customHeight="1">
      <c r="A87" s="119" t="s">
        <v>23</v>
      </c>
      <c r="B87" s="23" t="s">
        <v>20</v>
      </c>
      <c r="C87" s="43" t="s">
        <v>5</v>
      </c>
      <c r="D87" s="43" t="s">
        <v>31</v>
      </c>
      <c r="E87" s="28">
        <v>11.51</v>
      </c>
      <c r="F87" s="28">
        <v>10.36</v>
      </c>
      <c r="G87" s="28">
        <f>H87*200/180</f>
        <v>5.9</v>
      </c>
      <c r="H87" s="29">
        <v>5.31</v>
      </c>
      <c r="I87" s="28">
        <f>J87*200/180</f>
        <v>5</v>
      </c>
      <c r="J87" s="29">
        <v>4.5</v>
      </c>
      <c r="K87" s="28">
        <f>L87*200/180</f>
        <v>9.9</v>
      </c>
      <c r="L87" s="29">
        <v>8.91</v>
      </c>
      <c r="M87" s="28">
        <f>N87*200/180</f>
        <v>108.2</v>
      </c>
      <c r="N87" s="29">
        <v>97.38</v>
      </c>
      <c r="O87" s="28">
        <v>0.07</v>
      </c>
      <c r="P87" s="29">
        <v>0.07</v>
      </c>
      <c r="Q87" s="28">
        <v>0.3</v>
      </c>
      <c r="R87" s="29">
        <v>0.3</v>
      </c>
      <c r="S87" s="28">
        <f>T87*200/180</f>
        <v>2.7333333333333334</v>
      </c>
      <c r="T87" s="29">
        <v>2.46</v>
      </c>
      <c r="U87" s="28">
        <v>275.74</v>
      </c>
      <c r="V87" s="29">
        <v>275.74</v>
      </c>
      <c r="W87" s="28">
        <v>0.23</v>
      </c>
      <c r="X87" s="29">
        <v>0.23</v>
      </c>
      <c r="Y87" s="57"/>
      <c r="Z87" s="57"/>
      <c r="AA87" s="57"/>
      <c r="AB87" s="57"/>
      <c r="AC87" s="57"/>
      <c r="AD87" s="57"/>
      <c r="AE87" s="53"/>
    </row>
    <row r="88" spans="1:31" ht="15" customHeight="1">
      <c r="A88" s="22"/>
      <c r="B88" s="23" t="s">
        <v>7</v>
      </c>
      <c r="C88" s="43"/>
      <c r="D88" s="43"/>
      <c r="E88" s="17">
        <f>SUM(E87)</f>
        <v>11.51</v>
      </c>
      <c r="F88" s="17">
        <f aca="true" t="shared" si="18" ref="F88:T88">SUM(F87)</f>
        <v>10.36</v>
      </c>
      <c r="G88" s="17">
        <f t="shared" si="18"/>
        <v>5.9</v>
      </c>
      <c r="H88" s="17">
        <f t="shared" si="18"/>
        <v>5.31</v>
      </c>
      <c r="I88" s="17">
        <f t="shared" si="18"/>
        <v>5</v>
      </c>
      <c r="J88" s="17">
        <f t="shared" si="18"/>
        <v>4.5</v>
      </c>
      <c r="K88" s="17">
        <f t="shared" si="18"/>
        <v>9.9</v>
      </c>
      <c r="L88" s="17">
        <f t="shared" si="18"/>
        <v>8.91</v>
      </c>
      <c r="M88" s="17">
        <f t="shared" si="18"/>
        <v>108.2</v>
      </c>
      <c r="N88" s="17">
        <f t="shared" si="18"/>
        <v>97.38</v>
      </c>
      <c r="O88" s="17">
        <f t="shared" si="18"/>
        <v>0.07</v>
      </c>
      <c r="P88" s="17">
        <f t="shared" si="18"/>
        <v>0.07</v>
      </c>
      <c r="Q88" s="17">
        <f t="shared" si="18"/>
        <v>0.3</v>
      </c>
      <c r="R88" s="17">
        <f t="shared" si="18"/>
        <v>0.3</v>
      </c>
      <c r="S88" s="17">
        <f t="shared" si="18"/>
        <v>2.7333333333333334</v>
      </c>
      <c r="T88" s="17">
        <f t="shared" si="18"/>
        <v>2.46</v>
      </c>
      <c r="U88" s="17">
        <f aca="true" t="shared" si="19" ref="U88:AB88">SUM(U87)</f>
        <v>275.74</v>
      </c>
      <c r="V88" s="17">
        <f t="shared" si="19"/>
        <v>275.74</v>
      </c>
      <c r="W88" s="17">
        <f t="shared" si="19"/>
        <v>0.23</v>
      </c>
      <c r="X88" s="17">
        <f t="shared" si="19"/>
        <v>0.23</v>
      </c>
      <c r="Y88" s="17">
        <f t="shared" si="19"/>
        <v>0</v>
      </c>
      <c r="Z88" s="17">
        <f t="shared" si="19"/>
        <v>0</v>
      </c>
      <c r="AA88" s="17">
        <f t="shared" si="19"/>
        <v>0</v>
      </c>
      <c r="AB88" s="17">
        <f t="shared" si="19"/>
        <v>0</v>
      </c>
      <c r="AC88" s="58"/>
      <c r="AD88" s="53"/>
      <c r="AE88" s="53"/>
    </row>
    <row r="89" spans="1:31" ht="15" customHeight="1">
      <c r="A89" s="26"/>
      <c r="B89" s="89" t="s">
        <v>13</v>
      </c>
      <c r="C89" s="43"/>
      <c r="D89" s="43"/>
      <c r="E89" s="28"/>
      <c r="F89" s="28"/>
      <c r="G89" s="28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41"/>
      <c r="U89" s="41"/>
      <c r="V89" s="41"/>
      <c r="W89" s="41"/>
      <c r="X89" s="75"/>
      <c r="Y89" s="54"/>
      <c r="Z89" s="53"/>
      <c r="AA89" s="53"/>
      <c r="AB89" s="53"/>
      <c r="AC89" s="53"/>
      <c r="AD89" s="53"/>
      <c r="AE89" s="53"/>
    </row>
    <row r="90" spans="1:33" ht="15" customHeight="1">
      <c r="A90" s="120"/>
      <c r="B90" s="64" t="s">
        <v>148</v>
      </c>
      <c r="C90" s="65" t="s">
        <v>182</v>
      </c>
      <c r="D90" s="65" t="s">
        <v>182</v>
      </c>
      <c r="E90" s="61">
        <v>10.58</v>
      </c>
      <c r="F90" s="61">
        <v>10.58</v>
      </c>
      <c r="G90" s="61">
        <v>0.88</v>
      </c>
      <c r="H90" s="62">
        <f>G90*110/110</f>
        <v>0.88</v>
      </c>
      <c r="I90" s="61">
        <v>0</v>
      </c>
      <c r="J90" s="62">
        <v>0</v>
      </c>
      <c r="K90" s="61">
        <v>8.26</v>
      </c>
      <c r="L90" s="62">
        <f>K90*110/110</f>
        <v>8.26</v>
      </c>
      <c r="M90" s="61">
        <v>41.8</v>
      </c>
      <c r="N90" s="62">
        <f>M90*110/110</f>
        <v>41.8</v>
      </c>
      <c r="O90" s="61">
        <v>0.02</v>
      </c>
      <c r="P90" s="62">
        <v>0.02</v>
      </c>
      <c r="Q90" s="61">
        <f>R90*160/150</f>
        <v>0.05333333333333334</v>
      </c>
      <c r="R90" s="62">
        <v>0.05</v>
      </c>
      <c r="S90" s="61">
        <v>41.8</v>
      </c>
      <c r="T90" s="62">
        <f>S90*110/110</f>
        <v>41.8</v>
      </c>
      <c r="U90" s="61">
        <v>24</v>
      </c>
      <c r="V90" s="62">
        <v>24</v>
      </c>
      <c r="W90" s="61">
        <v>3.3</v>
      </c>
      <c r="X90" s="70">
        <v>3.3</v>
      </c>
      <c r="Y90" s="54"/>
      <c r="Z90" s="53"/>
      <c r="AA90" s="53"/>
      <c r="AB90" s="53"/>
      <c r="AC90" s="53"/>
      <c r="AD90" s="53"/>
      <c r="AE90" s="53"/>
      <c r="AF90" s="53"/>
      <c r="AG90" s="53"/>
    </row>
    <row r="91" spans="1:31" s="7" customFormat="1" ht="30" customHeight="1">
      <c r="A91" s="123" t="s">
        <v>188</v>
      </c>
      <c r="B91" s="23" t="s">
        <v>189</v>
      </c>
      <c r="C91" s="43" t="s">
        <v>86</v>
      </c>
      <c r="D91" s="43" t="s">
        <v>86</v>
      </c>
      <c r="E91" s="28">
        <v>14.31</v>
      </c>
      <c r="F91" s="28">
        <v>14.31</v>
      </c>
      <c r="G91" s="28">
        <v>9.28</v>
      </c>
      <c r="H91" s="29">
        <v>9.28</v>
      </c>
      <c r="I91" s="28">
        <v>5.94</v>
      </c>
      <c r="J91" s="29">
        <v>5.94</v>
      </c>
      <c r="K91" s="28">
        <v>12.52</v>
      </c>
      <c r="L91" s="29">
        <v>12.52</v>
      </c>
      <c r="M91" s="28">
        <v>141.4</v>
      </c>
      <c r="N91" s="29">
        <v>141.4</v>
      </c>
      <c r="O91" s="29">
        <v>0.09</v>
      </c>
      <c r="P91" s="29">
        <v>0.09</v>
      </c>
      <c r="Q91" s="29">
        <v>0.1</v>
      </c>
      <c r="R91" s="29">
        <v>0.1</v>
      </c>
      <c r="S91" s="28">
        <v>0.83</v>
      </c>
      <c r="T91" s="29">
        <v>0.83</v>
      </c>
      <c r="U91" s="29">
        <v>23.97</v>
      </c>
      <c r="V91" s="29">
        <v>23.97</v>
      </c>
      <c r="W91" s="29">
        <v>0.61</v>
      </c>
      <c r="X91" s="74">
        <v>0.61</v>
      </c>
      <c r="Y91" s="82"/>
      <c r="Z91" s="82"/>
      <c r="AA91" s="82"/>
      <c r="AB91" s="76"/>
      <c r="AC91" s="76"/>
      <c r="AD91" s="76"/>
      <c r="AE91" s="76"/>
    </row>
    <row r="92" spans="1:31" ht="15" customHeight="1">
      <c r="A92" s="119" t="s">
        <v>88</v>
      </c>
      <c r="B92" s="23" t="s">
        <v>89</v>
      </c>
      <c r="C92" s="43" t="s">
        <v>6</v>
      </c>
      <c r="D92" s="43" t="s">
        <v>72</v>
      </c>
      <c r="E92" s="28">
        <v>6.72</v>
      </c>
      <c r="F92" s="28">
        <v>5.82</v>
      </c>
      <c r="G92" s="29">
        <v>3</v>
      </c>
      <c r="H92" s="29">
        <f>G92*130/150</f>
        <v>2.6</v>
      </c>
      <c r="I92" s="29">
        <v>4.8</v>
      </c>
      <c r="J92" s="29">
        <f>I92*130/150</f>
        <v>4.16</v>
      </c>
      <c r="K92" s="29">
        <v>20.4</v>
      </c>
      <c r="L92" s="29">
        <f>K92*130/150</f>
        <v>17.68</v>
      </c>
      <c r="M92" s="29">
        <v>140</v>
      </c>
      <c r="N92" s="29">
        <f>M92*130/150</f>
        <v>121.33333333333333</v>
      </c>
      <c r="O92" s="40">
        <v>0.16</v>
      </c>
      <c r="P92" s="40">
        <v>0</v>
      </c>
      <c r="Q92" s="40">
        <v>0.1</v>
      </c>
      <c r="R92" s="40">
        <f>Q92/1.5</f>
        <v>0.06666666666666667</v>
      </c>
      <c r="S92" s="29">
        <v>18.1</v>
      </c>
      <c r="T92" s="29">
        <f>S92*130/150</f>
        <v>15.686666666666667</v>
      </c>
      <c r="U92" s="42">
        <v>42.66</v>
      </c>
      <c r="V92" s="42">
        <v>35.44</v>
      </c>
      <c r="W92" s="42">
        <v>0.19</v>
      </c>
      <c r="X92" s="42">
        <f>W92/1.5</f>
        <v>0.12666666666666668</v>
      </c>
      <c r="Y92" s="53"/>
      <c r="Z92" s="53"/>
      <c r="AA92" s="53"/>
      <c r="AB92" s="53"/>
      <c r="AC92" s="53"/>
      <c r="AD92" s="53"/>
      <c r="AE92" s="53"/>
    </row>
    <row r="93" spans="1:24" s="8" customFormat="1" ht="15" customHeight="1">
      <c r="A93" s="60" t="s">
        <v>178</v>
      </c>
      <c r="B93" s="64" t="s">
        <v>179</v>
      </c>
      <c r="C93" s="65" t="s">
        <v>180</v>
      </c>
      <c r="D93" s="65" t="s">
        <v>181</v>
      </c>
      <c r="E93" s="61">
        <v>1.95</v>
      </c>
      <c r="F93" s="61">
        <v>1.68</v>
      </c>
      <c r="G93" s="61">
        <v>0.27</v>
      </c>
      <c r="H93" s="62">
        <v>0.22</v>
      </c>
      <c r="I93" s="61">
        <v>0</v>
      </c>
      <c r="J93" s="62">
        <v>0</v>
      </c>
      <c r="K93" s="61">
        <v>15.33</v>
      </c>
      <c r="L93" s="62">
        <v>11.57</v>
      </c>
      <c r="M93" s="61">
        <v>62.4</v>
      </c>
      <c r="N93" s="62">
        <v>47.16</v>
      </c>
      <c r="O93" s="71">
        <v>0.01</v>
      </c>
      <c r="P93" s="71">
        <v>0.01</v>
      </c>
      <c r="Q93" s="71">
        <v>0.01</v>
      </c>
      <c r="R93" s="71">
        <v>0.01</v>
      </c>
      <c r="S93" s="71">
        <v>3.3</v>
      </c>
      <c r="T93" s="69">
        <v>3.1</v>
      </c>
      <c r="U93" s="71">
        <v>8.45</v>
      </c>
      <c r="V93" s="69">
        <v>7.5</v>
      </c>
      <c r="W93" s="71">
        <v>0.91</v>
      </c>
      <c r="X93" s="69">
        <v>0.82</v>
      </c>
    </row>
    <row r="94" spans="1:31" s="16" customFormat="1" ht="15" customHeight="1">
      <c r="A94" s="119"/>
      <c r="B94" s="23" t="s">
        <v>11</v>
      </c>
      <c r="C94" s="43" t="s">
        <v>14</v>
      </c>
      <c r="D94" s="43" t="s">
        <v>14</v>
      </c>
      <c r="E94" s="28">
        <v>1.22</v>
      </c>
      <c r="F94" s="28">
        <v>1.22</v>
      </c>
      <c r="G94" s="28">
        <v>1.6</v>
      </c>
      <c r="H94" s="28">
        <v>1.6</v>
      </c>
      <c r="I94" s="28">
        <v>0.4</v>
      </c>
      <c r="J94" s="28">
        <v>0.4</v>
      </c>
      <c r="K94" s="28">
        <v>10</v>
      </c>
      <c r="L94" s="28">
        <v>10</v>
      </c>
      <c r="M94" s="29">
        <v>54</v>
      </c>
      <c r="N94" s="29">
        <v>54</v>
      </c>
      <c r="O94" s="42">
        <v>0.04</v>
      </c>
      <c r="P94" s="47">
        <v>0.04</v>
      </c>
      <c r="Q94" s="42">
        <v>0.02</v>
      </c>
      <c r="R94" s="47">
        <v>0.02</v>
      </c>
      <c r="S94" s="42">
        <v>0</v>
      </c>
      <c r="T94" s="47">
        <v>0</v>
      </c>
      <c r="U94" s="42">
        <v>7.4</v>
      </c>
      <c r="V94" s="47">
        <v>7.4</v>
      </c>
      <c r="W94" s="42">
        <v>0.56</v>
      </c>
      <c r="X94" s="47">
        <v>0.56</v>
      </c>
      <c r="Y94" s="56"/>
      <c r="Z94" s="56"/>
      <c r="AA94" s="56"/>
      <c r="AB94" s="56"/>
      <c r="AC94" s="56"/>
      <c r="AD94" s="56"/>
      <c r="AE94" s="56"/>
    </row>
    <row r="95" spans="1:31" ht="15" customHeight="1">
      <c r="A95" s="22"/>
      <c r="B95" s="23" t="s">
        <v>7</v>
      </c>
      <c r="C95" s="43"/>
      <c r="D95" s="43"/>
      <c r="E95" s="17">
        <f>SUM(E90:E94)</f>
        <v>34.78</v>
      </c>
      <c r="F95" s="17">
        <f aca="true" t="shared" si="20" ref="F95:R95">SUM(F90:F94)</f>
        <v>33.61</v>
      </c>
      <c r="G95" s="17">
        <f t="shared" si="20"/>
        <v>15.03</v>
      </c>
      <c r="H95" s="17">
        <f t="shared" si="20"/>
        <v>14.58</v>
      </c>
      <c r="I95" s="17">
        <f t="shared" si="20"/>
        <v>11.14</v>
      </c>
      <c r="J95" s="17">
        <f t="shared" si="20"/>
        <v>10.500000000000002</v>
      </c>
      <c r="K95" s="17">
        <f t="shared" si="20"/>
        <v>66.50999999999999</v>
      </c>
      <c r="L95" s="17">
        <f t="shared" si="20"/>
        <v>60.03</v>
      </c>
      <c r="M95" s="17">
        <f t="shared" si="20"/>
        <v>439.59999999999997</v>
      </c>
      <c r="N95" s="17">
        <f t="shared" si="20"/>
        <v>405.69333333333327</v>
      </c>
      <c r="O95" s="17">
        <f t="shared" si="20"/>
        <v>0.32</v>
      </c>
      <c r="P95" s="17">
        <f t="shared" si="20"/>
        <v>0.16</v>
      </c>
      <c r="Q95" s="17">
        <f t="shared" si="20"/>
        <v>0.2833333333333334</v>
      </c>
      <c r="R95" s="17">
        <f t="shared" si="20"/>
        <v>0.24666666666666667</v>
      </c>
      <c r="S95" s="17">
        <f>SUM(S90:S94)-20</f>
        <v>44.03</v>
      </c>
      <c r="T95" s="17">
        <f>SUM(T90:T94)-20</f>
        <v>41.416666666666664</v>
      </c>
      <c r="U95" s="17">
        <f>SUM(U90:U94)</f>
        <v>106.48</v>
      </c>
      <c r="V95" s="17">
        <f>SUM(V90:V94)</f>
        <v>98.31</v>
      </c>
      <c r="W95" s="17">
        <f>SUM(W90:W94)</f>
        <v>5.57</v>
      </c>
      <c r="X95" s="17">
        <f>SUM(X90:X94)</f>
        <v>5.416666666666666</v>
      </c>
      <c r="Y95" s="72">
        <f>SUM(Y90:Y94)</f>
        <v>0</v>
      </c>
      <c r="Z95" s="58"/>
      <c r="AA95" s="58"/>
      <c r="AB95" s="58"/>
      <c r="AC95" s="58"/>
      <c r="AD95" s="53"/>
      <c r="AE95" s="53"/>
    </row>
    <row r="96" spans="1:31" ht="15" customHeight="1">
      <c r="A96" s="22"/>
      <c r="B96" s="23" t="s">
        <v>15</v>
      </c>
      <c r="C96" s="43"/>
      <c r="D96" s="28"/>
      <c r="E96" s="17">
        <f>SUM(E95,E88,E85,E76,E73)</f>
        <v>131.20999999999998</v>
      </c>
      <c r="F96" s="17">
        <f aca="true" t="shared" si="21" ref="F96:T96">SUM(F95,F88,F85,F76,F73)</f>
        <v>118.57000000000001</v>
      </c>
      <c r="G96" s="17">
        <f t="shared" si="21"/>
        <v>68.53461538461538</v>
      </c>
      <c r="H96" s="17">
        <f t="shared" si="21"/>
        <v>61.75</v>
      </c>
      <c r="I96" s="17">
        <f t="shared" si="21"/>
        <v>63.01846153846154</v>
      </c>
      <c r="J96" s="17">
        <f t="shared" si="21"/>
        <v>55.224333333333334</v>
      </c>
      <c r="K96" s="17">
        <f t="shared" si="21"/>
        <v>268.0984615384615</v>
      </c>
      <c r="L96" s="17">
        <f t="shared" si="21"/>
        <v>227.15999999999997</v>
      </c>
      <c r="M96" s="17">
        <f t="shared" si="21"/>
        <v>1804.17</v>
      </c>
      <c r="N96" s="17">
        <f t="shared" si="21"/>
        <v>1546.8316666666667</v>
      </c>
      <c r="O96" s="17">
        <f t="shared" si="21"/>
        <v>1.022</v>
      </c>
      <c r="P96" s="17">
        <f t="shared" si="21"/>
        <v>0.7433333333333333</v>
      </c>
      <c r="Q96" s="17">
        <f t="shared" si="21"/>
        <v>1.6293333333333333</v>
      </c>
      <c r="R96" s="17">
        <f t="shared" si="21"/>
        <v>1.4016666666666664</v>
      </c>
      <c r="S96" s="17">
        <f t="shared" si="21"/>
        <v>66.27533333333334</v>
      </c>
      <c r="T96" s="17">
        <f t="shared" si="21"/>
        <v>58.01166666666666</v>
      </c>
      <c r="U96" s="49">
        <f>U95+U88+U85+U76+U73</f>
        <v>1046.6660000000002</v>
      </c>
      <c r="V96" s="17">
        <f>V95+V88+V85+V76+V73</f>
        <v>916.5575000000001</v>
      </c>
      <c r="W96" s="17">
        <f>W95+W88+W85+W76+W73-4</f>
        <v>9.234000000000002</v>
      </c>
      <c r="X96" s="72">
        <f>X95+X88+X85+X76+X73-1</f>
        <v>10.247499999999999</v>
      </c>
      <c r="Y96" s="63"/>
      <c r="Z96" s="58"/>
      <c r="AA96" s="58"/>
      <c r="AB96" s="58"/>
      <c r="AC96" s="58"/>
      <c r="AD96" s="53"/>
      <c r="AE96" s="53"/>
    </row>
    <row r="97" spans="1:31" ht="15" customHeight="1">
      <c r="A97" s="22"/>
      <c r="B97" s="128" t="s">
        <v>153</v>
      </c>
      <c r="C97" s="43"/>
      <c r="D97" s="43"/>
      <c r="E97" s="28"/>
      <c r="F97" s="28"/>
      <c r="G97" s="28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41"/>
      <c r="U97" s="41"/>
      <c r="V97" s="41"/>
      <c r="W97" s="41"/>
      <c r="X97" s="75"/>
      <c r="Y97" s="54"/>
      <c r="Z97" s="53"/>
      <c r="AA97" s="53"/>
      <c r="AB97" s="53"/>
      <c r="AC97" s="53"/>
      <c r="AD97" s="117"/>
      <c r="AE97" s="117"/>
    </row>
    <row r="98" spans="1:31" ht="15" customHeight="1">
      <c r="A98" s="22"/>
      <c r="B98" s="89" t="s">
        <v>4</v>
      </c>
      <c r="C98" s="43"/>
      <c r="D98" s="43"/>
      <c r="E98" s="28"/>
      <c r="F98" s="28"/>
      <c r="G98" s="28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41"/>
      <c r="U98" s="41"/>
      <c r="V98" s="41"/>
      <c r="W98" s="41"/>
      <c r="X98" s="75"/>
      <c r="Y98" s="54"/>
      <c r="Z98" s="53"/>
      <c r="AA98" s="53"/>
      <c r="AB98" s="53"/>
      <c r="AC98" s="53"/>
      <c r="AD98" s="53"/>
      <c r="AE98" s="53"/>
    </row>
    <row r="99" spans="1:30" s="1" customFormat="1" ht="14.25" customHeight="1">
      <c r="A99" s="119" t="s">
        <v>60</v>
      </c>
      <c r="B99" s="23" t="s">
        <v>143</v>
      </c>
      <c r="C99" s="43" t="s">
        <v>144</v>
      </c>
      <c r="D99" s="43" t="s">
        <v>144</v>
      </c>
      <c r="E99" s="28">
        <v>7.11</v>
      </c>
      <c r="F99" s="28">
        <v>7.11</v>
      </c>
      <c r="G99" s="28">
        <v>2.93</v>
      </c>
      <c r="H99" s="29">
        <v>2.93</v>
      </c>
      <c r="I99" s="28">
        <v>6.05</v>
      </c>
      <c r="J99" s="29">
        <v>6.05</v>
      </c>
      <c r="K99" s="28">
        <v>10.4</v>
      </c>
      <c r="L99" s="29">
        <v>10.4</v>
      </c>
      <c r="M99" s="28">
        <v>107.77</v>
      </c>
      <c r="N99" s="29">
        <v>107.77</v>
      </c>
      <c r="O99" s="29">
        <v>0.08</v>
      </c>
      <c r="P99" s="29">
        <f>O99*40/60</f>
        <v>0.05333333333333334</v>
      </c>
      <c r="Q99" s="29">
        <v>0.06</v>
      </c>
      <c r="R99" s="29">
        <f>Q99*40/60</f>
        <v>0.04</v>
      </c>
      <c r="S99" s="28">
        <v>0.14</v>
      </c>
      <c r="T99" s="29">
        <v>0.14</v>
      </c>
      <c r="U99" s="29">
        <v>70.8</v>
      </c>
      <c r="V99" s="29">
        <f>U99*40/60</f>
        <v>47.2</v>
      </c>
      <c r="W99" s="29">
        <v>0.81</v>
      </c>
      <c r="X99" s="74">
        <f>W99*40/60</f>
        <v>0.5400000000000001</v>
      </c>
      <c r="Y99" s="59"/>
      <c r="Z99" s="57"/>
      <c r="AA99" s="57"/>
      <c r="AB99" s="57"/>
      <c r="AC99" s="57"/>
      <c r="AD99" s="57"/>
    </row>
    <row r="100" spans="1:31" ht="27" customHeight="1">
      <c r="A100" s="119" t="s">
        <v>132</v>
      </c>
      <c r="B100" s="23" t="s">
        <v>133</v>
      </c>
      <c r="C100" s="43" t="s">
        <v>111</v>
      </c>
      <c r="D100" s="43" t="s">
        <v>112</v>
      </c>
      <c r="E100" s="28">
        <v>13.17</v>
      </c>
      <c r="F100" s="28">
        <v>10.51</v>
      </c>
      <c r="G100" s="28">
        <v>6.86</v>
      </c>
      <c r="H100" s="28">
        <v>5.14</v>
      </c>
      <c r="I100" s="28">
        <v>6.29</v>
      </c>
      <c r="J100" s="28">
        <v>4.25</v>
      </c>
      <c r="K100" s="28">
        <v>23.14</v>
      </c>
      <c r="L100" s="28">
        <v>17.35</v>
      </c>
      <c r="M100" s="28">
        <v>226.87</v>
      </c>
      <c r="N100" s="28">
        <v>166.4</v>
      </c>
      <c r="O100" s="40">
        <v>0.19</v>
      </c>
      <c r="P100" s="44">
        <v>0.16</v>
      </c>
      <c r="Q100" s="40">
        <v>0.26</v>
      </c>
      <c r="R100" s="44">
        <v>0.2</v>
      </c>
      <c r="S100" s="40">
        <v>0</v>
      </c>
      <c r="T100" s="44">
        <v>0</v>
      </c>
      <c r="U100" s="40">
        <v>229.72</v>
      </c>
      <c r="V100" s="44">
        <f>U100*150/200</f>
        <v>172.29</v>
      </c>
      <c r="W100" s="40">
        <v>2.6</v>
      </c>
      <c r="X100" s="44">
        <f>W100*150/200</f>
        <v>1.95</v>
      </c>
      <c r="Z100" s="53"/>
      <c r="AA100" s="53"/>
      <c r="AB100" s="53"/>
      <c r="AC100" s="53"/>
      <c r="AD100" s="53"/>
      <c r="AE100" s="53"/>
    </row>
    <row r="101" spans="1:31" ht="15" customHeight="1">
      <c r="A101" s="119" t="s">
        <v>32</v>
      </c>
      <c r="B101" s="23" t="s">
        <v>33</v>
      </c>
      <c r="C101" s="43" t="s">
        <v>31</v>
      </c>
      <c r="D101" s="43" t="s">
        <v>6</v>
      </c>
      <c r="E101" s="28">
        <v>6.12</v>
      </c>
      <c r="F101" s="28">
        <v>5.1</v>
      </c>
      <c r="G101" s="40">
        <v>2.95</v>
      </c>
      <c r="H101" s="40">
        <v>2.46</v>
      </c>
      <c r="I101" s="40">
        <v>3.24</v>
      </c>
      <c r="J101" s="40">
        <v>2.7</v>
      </c>
      <c r="K101" s="40">
        <v>22.82</v>
      </c>
      <c r="L101" s="40">
        <v>19.02</v>
      </c>
      <c r="M101" s="40">
        <v>132.26</v>
      </c>
      <c r="N101" s="29">
        <v>110.22</v>
      </c>
      <c r="O101" s="40">
        <f>P101*180/150</f>
        <v>0.024</v>
      </c>
      <c r="P101" s="44">
        <v>0.02</v>
      </c>
      <c r="Q101" s="40">
        <f>R101*180/150</f>
        <v>0.12</v>
      </c>
      <c r="R101" s="44">
        <v>0.1</v>
      </c>
      <c r="S101" s="40">
        <v>1.43</v>
      </c>
      <c r="T101" s="44">
        <v>1.2</v>
      </c>
      <c r="U101" s="40">
        <f>V101*180/150</f>
        <v>109.58399999999999</v>
      </c>
      <c r="V101" s="44">
        <v>91.32</v>
      </c>
      <c r="W101" s="40">
        <f>X101*180/150</f>
        <v>0.36</v>
      </c>
      <c r="X101" s="44">
        <v>0.3</v>
      </c>
      <c r="Y101" s="53"/>
      <c r="Z101" s="53"/>
      <c r="AA101" s="53"/>
      <c r="AB101" s="53"/>
      <c r="AC101" s="53"/>
      <c r="AD101" s="53"/>
      <c r="AE101" s="53"/>
    </row>
    <row r="102" spans="1:32" ht="15" customHeight="1">
      <c r="A102" s="22"/>
      <c r="B102" s="23" t="s">
        <v>7</v>
      </c>
      <c r="C102" s="43"/>
      <c r="D102" s="43"/>
      <c r="E102" s="17">
        <f>SUM(E99:E101)</f>
        <v>26.400000000000002</v>
      </c>
      <c r="F102" s="17">
        <f aca="true" t="shared" si="22" ref="F102:T102">SUM(F99:F101)</f>
        <v>22.72</v>
      </c>
      <c r="G102" s="17">
        <f t="shared" si="22"/>
        <v>12.740000000000002</v>
      </c>
      <c r="H102" s="17">
        <f t="shared" si="22"/>
        <v>10.530000000000001</v>
      </c>
      <c r="I102" s="17">
        <f t="shared" si="22"/>
        <v>15.58</v>
      </c>
      <c r="J102" s="17">
        <f t="shared" si="22"/>
        <v>13</v>
      </c>
      <c r="K102" s="17">
        <f t="shared" si="22"/>
        <v>56.36</v>
      </c>
      <c r="L102" s="17">
        <f t="shared" si="22"/>
        <v>46.769999999999996</v>
      </c>
      <c r="M102" s="17">
        <f t="shared" si="22"/>
        <v>466.9</v>
      </c>
      <c r="N102" s="17">
        <f t="shared" si="22"/>
        <v>384.39</v>
      </c>
      <c r="O102" s="17">
        <f t="shared" si="22"/>
        <v>0.29400000000000004</v>
      </c>
      <c r="P102" s="17">
        <f t="shared" si="22"/>
        <v>0.23333333333333334</v>
      </c>
      <c r="Q102" s="17">
        <f t="shared" si="22"/>
        <v>0.44</v>
      </c>
      <c r="R102" s="17">
        <f t="shared" si="22"/>
        <v>0.34</v>
      </c>
      <c r="S102" s="17">
        <f t="shared" si="22"/>
        <v>1.5699999999999998</v>
      </c>
      <c r="T102" s="17">
        <f t="shared" si="22"/>
        <v>1.3399999999999999</v>
      </c>
      <c r="U102" s="17">
        <f aca="true" t="shared" si="23" ref="U102:AB102">SUM(U99:U101)</f>
        <v>410.104</v>
      </c>
      <c r="V102" s="17">
        <f t="shared" si="23"/>
        <v>310.81</v>
      </c>
      <c r="W102" s="17">
        <f t="shared" si="23"/>
        <v>3.77</v>
      </c>
      <c r="X102" s="17">
        <f t="shared" si="23"/>
        <v>2.79</v>
      </c>
      <c r="Y102" s="17">
        <f t="shared" si="23"/>
        <v>0</v>
      </c>
      <c r="Z102" s="17">
        <f t="shared" si="23"/>
        <v>0</v>
      </c>
      <c r="AA102" s="17">
        <f t="shared" si="23"/>
        <v>0</v>
      </c>
      <c r="AB102" s="17">
        <f t="shared" si="23"/>
        <v>0</v>
      </c>
      <c r="AC102" s="58"/>
      <c r="AD102" s="58"/>
      <c r="AE102" s="58"/>
      <c r="AF102" s="58"/>
    </row>
    <row r="103" spans="1:32" ht="15" customHeight="1">
      <c r="A103" s="22"/>
      <c r="B103" s="89" t="s">
        <v>16</v>
      </c>
      <c r="C103" s="43"/>
      <c r="D103" s="43"/>
      <c r="E103" s="28"/>
      <c r="F103" s="28"/>
      <c r="G103" s="28"/>
      <c r="H103" s="29"/>
      <c r="I103" s="29"/>
      <c r="J103" s="29"/>
      <c r="K103" s="29"/>
      <c r="L103" s="29"/>
      <c r="M103" s="29"/>
      <c r="N103" s="29"/>
      <c r="O103" s="41"/>
      <c r="P103" s="41"/>
      <c r="Q103" s="41"/>
      <c r="R103" s="41"/>
      <c r="S103" s="41"/>
      <c r="T103" s="41"/>
      <c r="U103" s="41"/>
      <c r="V103" s="41"/>
      <c r="W103" s="41"/>
      <c r="X103" s="75"/>
      <c r="Y103" s="54"/>
      <c r="Z103" s="53"/>
      <c r="AA103" s="53"/>
      <c r="AB103" s="53"/>
      <c r="AC103" s="53"/>
      <c r="AD103" s="53"/>
      <c r="AE103" s="53"/>
      <c r="AF103" s="53"/>
    </row>
    <row r="104" spans="1:31" s="1" customFormat="1" ht="15" customHeight="1">
      <c r="A104" s="120" t="s">
        <v>51</v>
      </c>
      <c r="B104" s="64" t="s">
        <v>54</v>
      </c>
      <c r="C104" s="65" t="s">
        <v>100</v>
      </c>
      <c r="D104" s="65" t="s">
        <v>100</v>
      </c>
      <c r="E104" s="61">
        <v>4.41</v>
      </c>
      <c r="F104" s="61">
        <v>4.41</v>
      </c>
      <c r="G104" s="66">
        <v>0</v>
      </c>
      <c r="H104" s="68">
        <v>0</v>
      </c>
      <c r="I104" s="66">
        <f>J104*180/150</f>
        <v>0</v>
      </c>
      <c r="J104" s="68">
        <v>0</v>
      </c>
      <c r="K104" s="66">
        <v>9.6</v>
      </c>
      <c r="L104" s="68">
        <v>9.6</v>
      </c>
      <c r="M104" s="66">
        <v>38.4</v>
      </c>
      <c r="N104" s="68">
        <v>38.4</v>
      </c>
      <c r="O104" s="66">
        <f>P104*180/150</f>
        <v>0</v>
      </c>
      <c r="P104" s="68">
        <v>0</v>
      </c>
      <c r="Q104" s="66">
        <f>R104*180/150</f>
        <v>0.024</v>
      </c>
      <c r="R104" s="68">
        <v>0.02</v>
      </c>
      <c r="S104" s="66">
        <v>3.2</v>
      </c>
      <c r="T104" s="68">
        <v>3.2</v>
      </c>
      <c r="U104" s="66">
        <f>V104*180/150</f>
        <v>9.996</v>
      </c>
      <c r="V104" s="68">
        <v>8.33</v>
      </c>
      <c r="W104" s="66">
        <f>X104*180/150</f>
        <v>0.252</v>
      </c>
      <c r="X104" s="101">
        <v>0.21</v>
      </c>
      <c r="Y104" s="57"/>
      <c r="Z104" s="57"/>
      <c r="AA104" s="57"/>
      <c r="AB104" s="57"/>
      <c r="AC104" s="57"/>
      <c r="AD104" s="57"/>
      <c r="AE104" s="57"/>
    </row>
    <row r="105" spans="1:31" ht="15" customHeight="1">
      <c r="A105" s="22"/>
      <c r="B105" s="23" t="s">
        <v>7</v>
      </c>
      <c r="C105" s="43"/>
      <c r="D105" s="43"/>
      <c r="E105" s="17">
        <f>SUM(E104)</f>
        <v>4.41</v>
      </c>
      <c r="F105" s="17">
        <f aca="true" t="shared" si="24" ref="F105:T105">SUM(F104)</f>
        <v>4.41</v>
      </c>
      <c r="G105" s="17">
        <f t="shared" si="24"/>
        <v>0</v>
      </c>
      <c r="H105" s="17">
        <f t="shared" si="24"/>
        <v>0</v>
      </c>
      <c r="I105" s="17">
        <f t="shared" si="24"/>
        <v>0</v>
      </c>
      <c r="J105" s="17">
        <f t="shared" si="24"/>
        <v>0</v>
      </c>
      <c r="K105" s="17">
        <f t="shared" si="24"/>
        <v>9.6</v>
      </c>
      <c r="L105" s="17">
        <f t="shared" si="24"/>
        <v>9.6</v>
      </c>
      <c r="M105" s="17">
        <f t="shared" si="24"/>
        <v>38.4</v>
      </c>
      <c r="N105" s="17">
        <f t="shared" si="24"/>
        <v>38.4</v>
      </c>
      <c r="O105" s="17">
        <f t="shared" si="24"/>
        <v>0</v>
      </c>
      <c r="P105" s="17">
        <f t="shared" si="24"/>
        <v>0</v>
      </c>
      <c r="Q105" s="17">
        <f t="shared" si="24"/>
        <v>0.024</v>
      </c>
      <c r="R105" s="17">
        <f t="shared" si="24"/>
        <v>0.02</v>
      </c>
      <c r="S105" s="17">
        <f t="shared" si="24"/>
        <v>3.2</v>
      </c>
      <c r="T105" s="17">
        <f t="shared" si="24"/>
        <v>3.2</v>
      </c>
      <c r="U105" s="17">
        <f>SUM(U104)</f>
        <v>9.996</v>
      </c>
      <c r="V105" s="17">
        <f>SUM(V104)</f>
        <v>8.33</v>
      </c>
      <c r="W105" s="17">
        <f>SUM(W104)</f>
        <v>0.252</v>
      </c>
      <c r="X105" s="17">
        <f>SUM(X104)</f>
        <v>0.21</v>
      </c>
      <c r="Y105" s="72">
        <f>SUM(Y104)</f>
        <v>0</v>
      </c>
      <c r="Z105" s="58"/>
      <c r="AA105" s="58"/>
      <c r="AB105" s="58"/>
      <c r="AC105" s="58"/>
      <c r="AD105" s="53"/>
      <c r="AE105" s="53"/>
    </row>
    <row r="106" spans="1:31" ht="15" customHeight="1">
      <c r="A106" s="22"/>
      <c r="B106" s="89" t="s">
        <v>9</v>
      </c>
      <c r="C106" s="43"/>
      <c r="D106" s="43"/>
      <c r="E106" s="28"/>
      <c r="F106" s="28"/>
      <c r="G106" s="28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74"/>
      <c r="Y106" s="54"/>
      <c r="Z106" s="53"/>
      <c r="AA106" s="53"/>
      <c r="AB106" s="53"/>
      <c r="AC106" s="53"/>
      <c r="AD106" s="53"/>
      <c r="AE106" s="53"/>
    </row>
    <row r="107" spans="1:24" ht="15.75" customHeight="1">
      <c r="A107" s="119" t="s">
        <v>140</v>
      </c>
      <c r="B107" s="23" t="s">
        <v>141</v>
      </c>
      <c r="C107" s="43" t="s">
        <v>30</v>
      </c>
      <c r="D107" s="43" t="s">
        <v>87</v>
      </c>
      <c r="E107" s="28">
        <v>3.19</v>
      </c>
      <c r="F107" s="28">
        <v>2.66</v>
      </c>
      <c r="G107" s="28">
        <v>0.84</v>
      </c>
      <c r="H107" s="29">
        <f>G107*50/60</f>
        <v>0.7</v>
      </c>
      <c r="I107" s="28">
        <v>6.06</v>
      </c>
      <c r="J107" s="29">
        <f>I107*50/60</f>
        <v>5.05</v>
      </c>
      <c r="K107" s="28">
        <v>4.08</v>
      </c>
      <c r="L107" s="29">
        <f>K107*50/60</f>
        <v>3.4</v>
      </c>
      <c r="M107" s="28">
        <v>74.4</v>
      </c>
      <c r="N107" s="29">
        <f>M107*50/60</f>
        <v>62.00000000000001</v>
      </c>
      <c r="O107" s="40">
        <v>0.04</v>
      </c>
      <c r="P107" s="44">
        <v>0.03</v>
      </c>
      <c r="Q107" s="40">
        <v>0.02</v>
      </c>
      <c r="R107" s="44">
        <v>0.02</v>
      </c>
      <c r="S107" s="28">
        <v>9.72</v>
      </c>
      <c r="T107" s="29">
        <f>S107*50/60</f>
        <v>8.100000000000001</v>
      </c>
      <c r="U107" s="40">
        <v>13.18</v>
      </c>
      <c r="V107" s="44">
        <v>9.89</v>
      </c>
      <c r="W107" s="40">
        <v>0.62</v>
      </c>
      <c r="X107" s="44">
        <v>0.47</v>
      </c>
    </row>
    <row r="108" spans="1:31" ht="25.5" customHeight="1">
      <c r="A108" s="120" t="s">
        <v>134</v>
      </c>
      <c r="B108" s="138" t="s">
        <v>135</v>
      </c>
      <c r="C108" s="103">
        <v>200</v>
      </c>
      <c r="D108" s="103">
        <v>150</v>
      </c>
      <c r="E108" s="61">
        <v>3.45</v>
      </c>
      <c r="F108" s="61">
        <v>2.6</v>
      </c>
      <c r="G108" s="66">
        <v>1.98</v>
      </c>
      <c r="H108" s="66">
        <v>1.48</v>
      </c>
      <c r="I108" s="66">
        <v>2.42</v>
      </c>
      <c r="J108" s="66">
        <v>1.81</v>
      </c>
      <c r="K108" s="66">
        <v>13.68</v>
      </c>
      <c r="L108" s="66">
        <v>10.26</v>
      </c>
      <c r="M108" s="66">
        <v>84.42</v>
      </c>
      <c r="N108" s="110">
        <v>63.25</v>
      </c>
      <c r="O108" s="129">
        <v>0.11</v>
      </c>
      <c r="P108" s="129">
        <v>0.09</v>
      </c>
      <c r="Q108" s="129">
        <v>0.05</v>
      </c>
      <c r="R108" s="129">
        <v>0.04</v>
      </c>
      <c r="S108" s="129">
        <v>6.6</v>
      </c>
      <c r="T108" s="139">
        <v>4.9</v>
      </c>
      <c r="U108" s="139">
        <v>18.44</v>
      </c>
      <c r="V108" s="139">
        <v>13.83</v>
      </c>
      <c r="W108" s="139">
        <v>0.36</v>
      </c>
      <c r="X108" s="139">
        <v>0.24</v>
      </c>
      <c r="Z108" s="53"/>
      <c r="AA108" s="53"/>
      <c r="AB108" s="53"/>
      <c r="AC108" s="53"/>
      <c r="AD108" s="53"/>
      <c r="AE108" s="53"/>
    </row>
    <row r="109" spans="1:24" ht="15" customHeight="1">
      <c r="A109" s="119" t="s">
        <v>157</v>
      </c>
      <c r="B109" s="23" t="s">
        <v>158</v>
      </c>
      <c r="C109" s="43" t="s">
        <v>71</v>
      </c>
      <c r="D109" s="151" t="s">
        <v>159</v>
      </c>
      <c r="E109" s="28">
        <v>41.3</v>
      </c>
      <c r="F109" s="131">
        <v>40.19</v>
      </c>
      <c r="G109" s="28">
        <v>12.13</v>
      </c>
      <c r="H109" s="29">
        <v>11.98</v>
      </c>
      <c r="I109" s="28">
        <v>19.63</v>
      </c>
      <c r="J109" s="29">
        <v>15.43</v>
      </c>
      <c r="K109" s="28">
        <v>18.9</v>
      </c>
      <c r="L109" s="29">
        <v>16.34</v>
      </c>
      <c r="M109" s="28">
        <v>304.9</v>
      </c>
      <c r="N109" s="29">
        <v>270.13</v>
      </c>
      <c r="O109" s="29">
        <v>0.2</v>
      </c>
      <c r="P109" s="29">
        <v>0.15</v>
      </c>
      <c r="Q109" s="29">
        <v>0.18</v>
      </c>
      <c r="R109" s="29">
        <v>0.11</v>
      </c>
      <c r="S109" s="29">
        <v>19.1</v>
      </c>
      <c r="T109" s="29">
        <v>16.6</v>
      </c>
      <c r="U109" s="29">
        <v>116.61</v>
      </c>
      <c r="V109" s="29">
        <v>91.87</v>
      </c>
      <c r="W109" s="29">
        <v>4.5</v>
      </c>
      <c r="X109" s="29">
        <v>3.19</v>
      </c>
    </row>
    <row r="110" spans="1:31" ht="27" customHeight="1">
      <c r="A110" s="121" t="s">
        <v>90</v>
      </c>
      <c r="B110" s="107" t="s">
        <v>83</v>
      </c>
      <c r="C110" s="103">
        <v>200</v>
      </c>
      <c r="D110" s="103">
        <v>150</v>
      </c>
      <c r="E110" s="61">
        <v>1.64</v>
      </c>
      <c r="F110" s="61">
        <v>1.23</v>
      </c>
      <c r="G110" s="61">
        <v>0.6</v>
      </c>
      <c r="H110" s="62">
        <f>G110*150/200</f>
        <v>0.45</v>
      </c>
      <c r="I110" s="61">
        <v>0</v>
      </c>
      <c r="J110" s="62">
        <f>I110*150/200</f>
        <v>0</v>
      </c>
      <c r="K110" s="61">
        <v>31.4</v>
      </c>
      <c r="L110" s="62">
        <f>K110*150/200</f>
        <v>23.55</v>
      </c>
      <c r="M110" s="61">
        <v>124</v>
      </c>
      <c r="N110" s="62">
        <f>M110*150/200</f>
        <v>93</v>
      </c>
      <c r="O110" s="62">
        <v>0.02</v>
      </c>
      <c r="P110" s="62">
        <f>O110*150/200</f>
        <v>0.015</v>
      </c>
      <c r="Q110" s="62">
        <v>0.03</v>
      </c>
      <c r="R110" s="62">
        <f>Q110*150/200</f>
        <v>0.0225</v>
      </c>
      <c r="S110" s="62">
        <v>0.45</v>
      </c>
      <c r="T110" s="62">
        <f>S110*150/200</f>
        <v>0.3375</v>
      </c>
      <c r="U110" s="62">
        <v>12.3</v>
      </c>
      <c r="V110" s="62">
        <f>U110*150/200</f>
        <v>9.225</v>
      </c>
      <c r="W110" s="70">
        <v>2</v>
      </c>
      <c r="X110" s="81">
        <f>W110*150/200</f>
        <v>1.5</v>
      </c>
      <c r="Y110" s="53"/>
      <c r="Z110" s="53"/>
      <c r="AA110" s="53"/>
      <c r="AB110" s="53"/>
      <c r="AC110" s="53"/>
      <c r="AD110" s="53"/>
      <c r="AE110" s="53"/>
    </row>
    <row r="111" spans="1:31" s="16" customFormat="1" ht="15" customHeight="1">
      <c r="A111" s="119"/>
      <c r="B111" s="23" t="s">
        <v>11</v>
      </c>
      <c r="C111" s="43" t="s">
        <v>14</v>
      </c>
      <c r="D111" s="43" t="s">
        <v>14</v>
      </c>
      <c r="E111" s="28">
        <v>1.22</v>
      </c>
      <c r="F111" s="28">
        <v>1.22</v>
      </c>
      <c r="G111" s="28">
        <v>1.6</v>
      </c>
      <c r="H111" s="28">
        <v>1.6</v>
      </c>
      <c r="I111" s="28">
        <v>0.4</v>
      </c>
      <c r="J111" s="28">
        <v>0.4</v>
      </c>
      <c r="K111" s="28">
        <v>10</v>
      </c>
      <c r="L111" s="28">
        <v>10</v>
      </c>
      <c r="M111" s="29">
        <v>54</v>
      </c>
      <c r="N111" s="29">
        <v>54</v>
      </c>
      <c r="O111" s="42">
        <v>0.04</v>
      </c>
      <c r="P111" s="47">
        <v>0.04</v>
      </c>
      <c r="Q111" s="42">
        <v>0.02</v>
      </c>
      <c r="R111" s="47">
        <v>0.02</v>
      </c>
      <c r="S111" s="42">
        <v>0</v>
      </c>
      <c r="T111" s="47">
        <v>0</v>
      </c>
      <c r="U111" s="42">
        <v>7.4</v>
      </c>
      <c r="V111" s="47">
        <v>7.4</v>
      </c>
      <c r="W111" s="42">
        <v>0.56</v>
      </c>
      <c r="X111" s="47">
        <v>0.56</v>
      </c>
      <c r="Y111" s="56"/>
      <c r="Z111" s="56"/>
      <c r="AA111" s="56"/>
      <c r="AB111" s="56"/>
      <c r="AC111" s="56"/>
      <c r="AD111" s="56"/>
      <c r="AE111" s="56"/>
    </row>
    <row r="112" spans="1:31" ht="15" customHeight="1">
      <c r="A112" s="119"/>
      <c r="B112" s="23" t="s">
        <v>47</v>
      </c>
      <c r="C112" s="43" t="s">
        <v>73</v>
      </c>
      <c r="D112" s="43" t="s">
        <v>74</v>
      </c>
      <c r="E112" s="28">
        <v>2.3</v>
      </c>
      <c r="F112" s="28">
        <v>2.01</v>
      </c>
      <c r="G112" s="28">
        <v>3.25</v>
      </c>
      <c r="H112" s="29">
        <v>2.84</v>
      </c>
      <c r="I112" s="29">
        <v>0.46</v>
      </c>
      <c r="J112" s="29">
        <f>I112*40.6/46</f>
        <v>0.406</v>
      </c>
      <c r="K112" s="29">
        <v>20.88</v>
      </c>
      <c r="L112" s="29">
        <v>18.27</v>
      </c>
      <c r="M112" s="29">
        <v>102.08</v>
      </c>
      <c r="N112" s="29">
        <v>89.32</v>
      </c>
      <c r="O112" s="40">
        <v>0.06</v>
      </c>
      <c r="P112" s="44">
        <v>0.04</v>
      </c>
      <c r="Q112" s="40">
        <v>0.04</v>
      </c>
      <c r="R112" s="44">
        <v>0.03</v>
      </c>
      <c r="S112" s="40">
        <v>0</v>
      </c>
      <c r="T112" s="29">
        <f>S112*40.6/46</f>
        <v>0</v>
      </c>
      <c r="U112" s="42">
        <v>17</v>
      </c>
      <c r="V112" s="47">
        <v>13.6</v>
      </c>
      <c r="W112" s="42">
        <v>1.15</v>
      </c>
      <c r="X112" s="47">
        <v>0.92</v>
      </c>
      <c r="Y112" s="53"/>
      <c r="Z112" s="53"/>
      <c r="AA112" s="53"/>
      <c r="AB112" s="53"/>
      <c r="AC112" s="53"/>
      <c r="AD112" s="53"/>
      <c r="AE112" s="53"/>
    </row>
    <row r="113" spans="1:31" ht="15" customHeight="1">
      <c r="A113" s="22"/>
      <c r="B113" s="23" t="s">
        <v>7</v>
      </c>
      <c r="C113" s="43"/>
      <c r="D113" s="43"/>
      <c r="E113" s="17">
        <f>SUM(E107:E112)</f>
        <v>53.099999999999994</v>
      </c>
      <c r="F113" s="17">
        <f aca="true" t="shared" si="25" ref="F113:R113">SUM(F107:F112)</f>
        <v>49.90999999999999</v>
      </c>
      <c r="G113" s="17">
        <f t="shared" si="25"/>
        <v>20.400000000000002</v>
      </c>
      <c r="H113" s="17">
        <f t="shared" si="25"/>
        <v>19.05</v>
      </c>
      <c r="I113" s="17">
        <f>SUM(I107:I112)-10</f>
        <v>18.97</v>
      </c>
      <c r="J113" s="17">
        <f>SUM(J107:J112)-10</f>
        <v>13.095999999999997</v>
      </c>
      <c r="K113" s="17">
        <f>SUM(K107:K112)-10</f>
        <v>88.94</v>
      </c>
      <c r="L113" s="17">
        <f>SUM(L107:L112)-10</f>
        <v>71.82</v>
      </c>
      <c r="M113" s="17">
        <f>SUM(M107:M112)-200</f>
        <v>543.8000000000001</v>
      </c>
      <c r="N113" s="17">
        <f>SUM(N107:N112)-200</f>
        <v>431.70000000000005</v>
      </c>
      <c r="O113" s="17">
        <f t="shared" si="25"/>
        <v>0.47</v>
      </c>
      <c r="P113" s="17">
        <f t="shared" si="25"/>
        <v>0.365</v>
      </c>
      <c r="Q113" s="17">
        <f t="shared" si="25"/>
        <v>0.34</v>
      </c>
      <c r="R113" s="17">
        <f t="shared" si="25"/>
        <v>0.24249999999999997</v>
      </c>
      <c r="S113" s="17">
        <f>SUM(S107:S112)-10</f>
        <v>25.870000000000005</v>
      </c>
      <c r="T113" s="17">
        <f>SUM(T107:T112)-10</f>
        <v>19.9375</v>
      </c>
      <c r="U113" s="17">
        <f>SUM(U107:U112)</f>
        <v>184.93</v>
      </c>
      <c r="V113" s="17">
        <f>SUM(V107:V112)</f>
        <v>145.815</v>
      </c>
      <c r="W113" s="17">
        <f>SUM(W107:W112)</f>
        <v>9.190000000000001</v>
      </c>
      <c r="X113" s="17">
        <f>SUM(X107:X112)</f>
        <v>6.880000000000001</v>
      </c>
      <c r="Y113" s="72">
        <f>SUM(Y107:Y112)</f>
        <v>0</v>
      </c>
      <c r="Z113" s="58"/>
      <c r="AA113" s="58"/>
      <c r="AB113" s="58"/>
      <c r="AC113" s="58"/>
      <c r="AD113" s="53"/>
      <c r="AE113" s="53"/>
    </row>
    <row r="114" spans="1:31" ht="15" customHeight="1">
      <c r="A114" s="22"/>
      <c r="B114" s="89" t="s">
        <v>12</v>
      </c>
      <c r="C114" s="43"/>
      <c r="D114" s="43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41"/>
      <c r="P114" s="41"/>
      <c r="Q114" s="41"/>
      <c r="R114" s="41"/>
      <c r="S114" s="41"/>
      <c r="T114" s="41"/>
      <c r="U114" s="41"/>
      <c r="V114" s="41"/>
      <c r="W114" s="41"/>
      <c r="X114" s="75"/>
      <c r="Y114" s="54"/>
      <c r="Z114" s="53"/>
      <c r="AA114" s="53"/>
      <c r="AB114" s="53"/>
      <c r="AC114" s="53"/>
      <c r="AD114" s="53"/>
      <c r="AE114" s="53"/>
    </row>
    <row r="115" spans="1:31" ht="15" customHeight="1">
      <c r="A115" s="119" t="s">
        <v>23</v>
      </c>
      <c r="B115" s="23" t="s">
        <v>20</v>
      </c>
      <c r="C115" s="43" t="s">
        <v>31</v>
      </c>
      <c r="D115" s="43" t="s">
        <v>31</v>
      </c>
      <c r="E115" s="28">
        <v>10.36</v>
      </c>
      <c r="F115" s="28">
        <v>10.36</v>
      </c>
      <c r="G115" s="28">
        <f>H115*180/180</f>
        <v>5.31</v>
      </c>
      <c r="H115" s="29">
        <v>5.31</v>
      </c>
      <c r="I115" s="28">
        <f>J115*180/180</f>
        <v>4.5</v>
      </c>
      <c r="J115" s="29">
        <v>4.5</v>
      </c>
      <c r="K115" s="28">
        <f>L115*180/180</f>
        <v>8.91</v>
      </c>
      <c r="L115" s="29">
        <v>8.91</v>
      </c>
      <c r="M115" s="28">
        <f>N115*180/180</f>
        <v>97.37999999999998</v>
      </c>
      <c r="N115" s="29">
        <v>97.38</v>
      </c>
      <c r="O115" s="28">
        <v>0.07</v>
      </c>
      <c r="P115" s="29">
        <v>0.07</v>
      </c>
      <c r="Q115" s="28">
        <v>0.3</v>
      </c>
      <c r="R115" s="29">
        <v>0.3</v>
      </c>
      <c r="S115" s="28">
        <f>T115*180/180</f>
        <v>2.46</v>
      </c>
      <c r="T115" s="29">
        <v>2.46</v>
      </c>
      <c r="U115" s="28">
        <v>275.74</v>
      </c>
      <c r="V115" s="29">
        <v>275.74</v>
      </c>
      <c r="W115" s="28">
        <v>0.23</v>
      </c>
      <c r="X115" s="29">
        <v>0.23</v>
      </c>
      <c r="Y115" s="57"/>
      <c r="Z115" s="57"/>
      <c r="AA115" s="57"/>
      <c r="AB115" s="57"/>
      <c r="AC115" s="57"/>
      <c r="AD115" s="57"/>
      <c r="AE115" s="53"/>
    </row>
    <row r="116" spans="1:31" s="8" customFormat="1" ht="15" customHeight="1">
      <c r="A116" s="60"/>
      <c r="B116" s="64" t="s">
        <v>7</v>
      </c>
      <c r="C116" s="65"/>
      <c r="D116" s="65"/>
      <c r="E116" s="79">
        <f>SUM(E115)</f>
        <v>10.36</v>
      </c>
      <c r="F116" s="79">
        <f aca="true" t="shared" si="26" ref="F116:T116">SUM(F115)</f>
        <v>10.36</v>
      </c>
      <c r="G116" s="79">
        <f t="shared" si="26"/>
        <v>5.31</v>
      </c>
      <c r="H116" s="79">
        <f t="shared" si="26"/>
        <v>5.31</v>
      </c>
      <c r="I116" s="79">
        <f t="shared" si="26"/>
        <v>4.5</v>
      </c>
      <c r="J116" s="79">
        <f t="shared" si="26"/>
        <v>4.5</v>
      </c>
      <c r="K116" s="79">
        <f t="shared" si="26"/>
        <v>8.91</v>
      </c>
      <c r="L116" s="79">
        <f t="shared" si="26"/>
        <v>8.91</v>
      </c>
      <c r="M116" s="79">
        <f t="shared" si="26"/>
        <v>97.37999999999998</v>
      </c>
      <c r="N116" s="79">
        <f t="shared" si="26"/>
        <v>97.38</v>
      </c>
      <c r="O116" s="79">
        <f t="shared" si="26"/>
        <v>0.07</v>
      </c>
      <c r="P116" s="79">
        <f t="shared" si="26"/>
        <v>0.07</v>
      </c>
      <c r="Q116" s="79">
        <f t="shared" si="26"/>
        <v>0.3</v>
      </c>
      <c r="R116" s="79">
        <f t="shared" si="26"/>
        <v>0.3</v>
      </c>
      <c r="S116" s="79">
        <f t="shared" si="26"/>
        <v>2.46</v>
      </c>
      <c r="T116" s="79">
        <f t="shared" si="26"/>
        <v>2.46</v>
      </c>
      <c r="U116" s="79" t="e">
        <f>SUM(#REF!)</f>
        <v>#REF!</v>
      </c>
      <c r="V116" s="79" t="e">
        <f>SUM(#REF!)</f>
        <v>#REF!</v>
      </c>
      <c r="W116" s="79" t="e">
        <f>SUM(#REF!)</f>
        <v>#REF!</v>
      </c>
      <c r="X116" s="80" t="e">
        <f>SUM(#REF!)</f>
        <v>#REF!</v>
      </c>
      <c r="Y116" s="63"/>
      <c r="Z116" s="58"/>
      <c r="AA116" s="58"/>
      <c r="AB116" s="58"/>
      <c r="AC116" s="58"/>
      <c r="AD116" s="104"/>
      <c r="AE116" s="104"/>
    </row>
    <row r="117" spans="1:31" ht="15" customHeight="1">
      <c r="A117" s="22"/>
      <c r="B117" s="89" t="s">
        <v>13</v>
      </c>
      <c r="C117" s="43"/>
      <c r="D117" s="43"/>
      <c r="E117" s="28"/>
      <c r="F117" s="28"/>
      <c r="G117" s="28"/>
      <c r="H117" s="29"/>
      <c r="I117" s="29"/>
      <c r="J117" s="29"/>
      <c r="K117" s="29"/>
      <c r="L117" s="29"/>
      <c r="M117" s="29"/>
      <c r="N117" s="29"/>
      <c r="O117" s="41"/>
      <c r="P117" s="41"/>
      <c r="Q117" s="41"/>
      <c r="R117" s="41"/>
      <c r="S117" s="41"/>
      <c r="T117" s="41"/>
      <c r="U117" s="41"/>
      <c r="V117" s="41"/>
      <c r="W117" s="41"/>
      <c r="X117" s="75"/>
      <c r="Y117" s="54"/>
      <c r="Z117" s="53"/>
      <c r="AA117" s="53"/>
      <c r="AB117" s="53"/>
      <c r="AC117" s="53"/>
      <c r="AD117" s="53"/>
      <c r="AE117" s="53"/>
    </row>
    <row r="118" spans="1:31" s="16" customFormat="1" ht="25.5">
      <c r="A118" s="121" t="s">
        <v>160</v>
      </c>
      <c r="B118" s="64" t="s">
        <v>161</v>
      </c>
      <c r="C118" s="143" t="s">
        <v>114</v>
      </c>
      <c r="D118" s="143" t="s">
        <v>162</v>
      </c>
      <c r="E118" s="144">
        <v>48.56</v>
      </c>
      <c r="F118" s="144">
        <v>33.2</v>
      </c>
      <c r="G118" s="144">
        <v>20.23</v>
      </c>
      <c r="H118" s="145">
        <v>13.49</v>
      </c>
      <c r="I118" s="145">
        <v>20.25</v>
      </c>
      <c r="J118" s="145">
        <v>13.5</v>
      </c>
      <c r="K118" s="145">
        <v>23.4</v>
      </c>
      <c r="L118" s="145">
        <v>15.6</v>
      </c>
      <c r="M118" s="145">
        <v>356.77</v>
      </c>
      <c r="N118" s="145">
        <v>237.86</v>
      </c>
      <c r="O118" s="146">
        <v>0.14</v>
      </c>
      <c r="P118" s="146">
        <v>0.11</v>
      </c>
      <c r="Q118" s="145">
        <v>0.1</v>
      </c>
      <c r="R118" s="146">
        <v>0.07</v>
      </c>
      <c r="S118" s="146">
        <v>2.9</v>
      </c>
      <c r="T118" s="146">
        <v>1.9</v>
      </c>
      <c r="U118" s="147"/>
      <c r="V118" s="147"/>
      <c r="W118" s="147"/>
      <c r="X118" s="148"/>
      <c r="Y118" s="56"/>
      <c r="Z118" s="56"/>
      <c r="AA118" s="56"/>
      <c r="AB118" s="56"/>
      <c r="AC118" s="56"/>
      <c r="AD118" s="56"/>
      <c r="AE118" s="56"/>
    </row>
    <row r="119" spans="1:31" ht="15" customHeight="1">
      <c r="A119" s="120" t="s">
        <v>78</v>
      </c>
      <c r="B119" s="67" t="s">
        <v>79</v>
      </c>
      <c r="C119" s="65" t="s">
        <v>5</v>
      </c>
      <c r="D119" s="65" t="s">
        <v>6</v>
      </c>
      <c r="E119" s="61">
        <v>0.58</v>
      </c>
      <c r="F119" s="61">
        <v>0.43</v>
      </c>
      <c r="G119" s="61">
        <v>0.18</v>
      </c>
      <c r="H119" s="62">
        <v>0.13</v>
      </c>
      <c r="I119" s="61">
        <f>J119*200/150</f>
        <v>0</v>
      </c>
      <c r="J119" s="62">
        <v>0</v>
      </c>
      <c r="K119" s="61">
        <v>4.78</v>
      </c>
      <c r="L119" s="62">
        <v>3.58</v>
      </c>
      <c r="M119" s="61">
        <v>19.9</v>
      </c>
      <c r="N119" s="62">
        <v>14.92</v>
      </c>
      <c r="O119" s="61">
        <f>P119*200/150</f>
        <v>0.013333333333333334</v>
      </c>
      <c r="P119" s="69">
        <v>0.01</v>
      </c>
      <c r="Q119" s="61">
        <f>R119*200/150</f>
        <v>0.013333333333333334</v>
      </c>
      <c r="R119" s="69">
        <v>0.01</v>
      </c>
      <c r="S119" s="61">
        <v>0.04</v>
      </c>
      <c r="T119" s="69">
        <v>0.03</v>
      </c>
      <c r="U119" s="61">
        <f>V119*200/150</f>
        <v>5.053333333333334</v>
      </c>
      <c r="V119" s="69">
        <v>3.79</v>
      </c>
      <c r="W119" s="61">
        <f>X119*200/150</f>
        <v>0.84</v>
      </c>
      <c r="X119" s="111">
        <v>0.63</v>
      </c>
      <c r="Y119" s="53"/>
      <c r="Z119" s="53"/>
      <c r="AA119" s="53"/>
      <c r="AB119" s="53"/>
      <c r="AC119" s="53"/>
      <c r="AD119" s="53"/>
      <c r="AE119" s="53"/>
    </row>
    <row r="120" spans="1:31" s="16" customFormat="1" ht="15" customHeight="1">
      <c r="A120" s="119"/>
      <c r="B120" s="23" t="s">
        <v>11</v>
      </c>
      <c r="C120" s="43" t="s">
        <v>14</v>
      </c>
      <c r="D120" s="43" t="s">
        <v>14</v>
      </c>
      <c r="E120" s="28">
        <v>1.22</v>
      </c>
      <c r="F120" s="28">
        <v>1.22</v>
      </c>
      <c r="G120" s="28">
        <v>1.6</v>
      </c>
      <c r="H120" s="28">
        <v>1.6</v>
      </c>
      <c r="I120" s="28">
        <v>0.4</v>
      </c>
      <c r="J120" s="28">
        <v>0.4</v>
      </c>
      <c r="K120" s="28">
        <v>10</v>
      </c>
      <c r="L120" s="28">
        <v>10</v>
      </c>
      <c r="M120" s="29">
        <v>54</v>
      </c>
      <c r="N120" s="29">
        <v>54</v>
      </c>
      <c r="O120" s="42">
        <v>0.04</v>
      </c>
      <c r="P120" s="47">
        <v>0.04</v>
      </c>
      <c r="Q120" s="42">
        <v>0.02</v>
      </c>
      <c r="R120" s="47">
        <v>0.02</v>
      </c>
      <c r="S120" s="42">
        <v>0</v>
      </c>
      <c r="T120" s="47">
        <v>0</v>
      </c>
      <c r="U120" s="42">
        <v>7.4</v>
      </c>
      <c r="V120" s="47">
        <v>7.4</v>
      </c>
      <c r="W120" s="42">
        <v>0.56</v>
      </c>
      <c r="X120" s="47">
        <v>0.56</v>
      </c>
      <c r="Y120" s="56"/>
      <c r="Z120" s="56"/>
      <c r="AA120" s="56"/>
      <c r="AB120" s="56"/>
      <c r="AC120" s="56"/>
      <c r="AD120" s="56"/>
      <c r="AE120" s="56"/>
    </row>
    <row r="121" spans="1:31" ht="15" customHeight="1">
      <c r="A121" s="22"/>
      <c r="B121" s="23" t="s">
        <v>7</v>
      </c>
      <c r="C121" s="43"/>
      <c r="D121" s="43"/>
      <c r="E121" s="17">
        <f>SUM(E118:E120)</f>
        <v>50.36</v>
      </c>
      <c r="F121" s="17">
        <f aca="true" t="shared" si="27" ref="F121:T121">SUM(F118:F120)</f>
        <v>34.85</v>
      </c>
      <c r="G121" s="17">
        <f t="shared" si="27"/>
        <v>22.01</v>
      </c>
      <c r="H121" s="17">
        <f t="shared" si="27"/>
        <v>15.22</v>
      </c>
      <c r="I121" s="17">
        <f t="shared" si="27"/>
        <v>20.65</v>
      </c>
      <c r="J121" s="17">
        <f t="shared" si="27"/>
        <v>13.9</v>
      </c>
      <c r="K121" s="17">
        <f t="shared" si="27"/>
        <v>38.18</v>
      </c>
      <c r="L121" s="17">
        <f t="shared" si="27"/>
        <v>29.18</v>
      </c>
      <c r="M121" s="17">
        <f t="shared" si="27"/>
        <v>430.66999999999996</v>
      </c>
      <c r="N121" s="17">
        <f t="shared" si="27"/>
        <v>306.78</v>
      </c>
      <c r="O121" s="17">
        <f t="shared" si="27"/>
        <v>0.19333333333333336</v>
      </c>
      <c r="P121" s="17">
        <f t="shared" si="27"/>
        <v>0.16</v>
      </c>
      <c r="Q121" s="17">
        <f t="shared" si="27"/>
        <v>0.13333333333333333</v>
      </c>
      <c r="R121" s="17">
        <f t="shared" si="27"/>
        <v>0.1</v>
      </c>
      <c r="S121" s="17">
        <f t="shared" si="27"/>
        <v>2.94</v>
      </c>
      <c r="T121" s="17">
        <f t="shared" si="27"/>
        <v>1.93</v>
      </c>
      <c r="U121" s="17">
        <f>SUM(U118:U120)</f>
        <v>12.453333333333333</v>
      </c>
      <c r="V121" s="17">
        <f>SUM(V118:V120)</f>
        <v>11.190000000000001</v>
      </c>
      <c r="W121" s="17">
        <f>SUM(W118:W120)</f>
        <v>1.4</v>
      </c>
      <c r="X121" s="17">
        <f>SUM(X118:X120)</f>
        <v>1.19</v>
      </c>
      <c r="Y121" s="72">
        <f>SUM(Y118:Y120)</f>
        <v>0</v>
      </c>
      <c r="Z121" s="58"/>
      <c r="AA121" s="58"/>
      <c r="AB121" s="58"/>
      <c r="AC121" s="58"/>
      <c r="AD121" s="125"/>
      <c r="AE121" s="125"/>
    </row>
    <row r="122" spans="1:31" ht="15" customHeight="1">
      <c r="A122" s="22"/>
      <c r="B122" s="23" t="s">
        <v>15</v>
      </c>
      <c r="C122" s="43"/>
      <c r="D122" s="43"/>
      <c r="E122" s="17">
        <f>SUM(E121,E116,E113,E105,E102)</f>
        <v>144.63</v>
      </c>
      <c r="F122" s="17">
        <f aca="true" t="shared" si="28" ref="F122:T122">SUM(F121,F116,F113,F105,F102)</f>
        <v>122.24999999999999</v>
      </c>
      <c r="G122" s="17">
        <f t="shared" si="28"/>
        <v>60.46</v>
      </c>
      <c r="H122" s="17">
        <f t="shared" si="28"/>
        <v>50.11</v>
      </c>
      <c r="I122" s="17">
        <f t="shared" si="28"/>
        <v>59.699999999999996</v>
      </c>
      <c r="J122" s="17">
        <f t="shared" si="28"/>
        <v>44.495999999999995</v>
      </c>
      <c r="K122" s="17">
        <f t="shared" si="28"/>
        <v>201.99</v>
      </c>
      <c r="L122" s="17">
        <f t="shared" si="28"/>
        <v>166.27999999999997</v>
      </c>
      <c r="M122" s="17">
        <f t="shared" si="28"/>
        <v>1577.15</v>
      </c>
      <c r="N122" s="17">
        <f t="shared" si="28"/>
        <v>1258.65</v>
      </c>
      <c r="O122" s="17">
        <f t="shared" si="28"/>
        <v>1.0273333333333334</v>
      </c>
      <c r="P122" s="17">
        <f t="shared" si="28"/>
        <v>0.8283333333333334</v>
      </c>
      <c r="Q122" s="17">
        <f t="shared" si="28"/>
        <v>1.2373333333333334</v>
      </c>
      <c r="R122" s="17">
        <f t="shared" si="28"/>
        <v>1.0025</v>
      </c>
      <c r="S122" s="17">
        <f t="shared" si="28"/>
        <v>36.040000000000006</v>
      </c>
      <c r="T122" s="17">
        <f t="shared" si="28"/>
        <v>28.8675</v>
      </c>
      <c r="U122" s="17" t="e">
        <f>U121+U116+U113+U105+U102</f>
        <v>#REF!</v>
      </c>
      <c r="V122" s="17" t="e">
        <f>V121+V116+V113+V105+V102</f>
        <v>#REF!</v>
      </c>
      <c r="W122" s="17" t="e">
        <f>W121+W116+W113+W105+W102</f>
        <v>#REF!</v>
      </c>
      <c r="X122" s="17" t="e">
        <f>X121+X116+X113+X105+X102</f>
        <v>#REF!</v>
      </c>
      <c r="Y122" s="72">
        <f>Y121+Y116+Y113+Y105+Y102</f>
        <v>0</v>
      </c>
      <c r="Z122" s="58"/>
      <c r="AA122" s="58"/>
      <c r="AB122" s="58"/>
      <c r="AC122" s="58"/>
      <c r="AD122" s="126"/>
      <c r="AE122" s="126"/>
    </row>
    <row r="123" spans="1:31" ht="15" customHeight="1">
      <c r="A123" s="22"/>
      <c r="B123" s="88" t="s">
        <v>154</v>
      </c>
      <c r="C123" s="43"/>
      <c r="D123" s="43"/>
      <c r="E123" s="28"/>
      <c r="F123" s="17"/>
      <c r="G123" s="28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41"/>
      <c r="U123" s="41"/>
      <c r="V123" s="41"/>
      <c r="W123" s="41"/>
      <c r="X123" s="75"/>
      <c r="Y123" s="54"/>
      <c r="Z123" s="53"/>
      <c r="AA123" s="53"/>
      <c r="AB123" s="53"/>
      <c r="AC123" s="53"/>
      <c r="AD123" s="53"/>
      <c r="AE123" s="53"/>
    </row>
    <row r="124" spans="1:31" ht="15" customHeight="1">
      <c r="A124" s="22"/>
      <c r="B124" s="89" t="s">
        <v>18</v>
      </c>
      <c r="C124" s="43"/>
      <c r="D124" s="43"/>
      <c r="E124" s="28"/>
      <c r="F124" s="28"/>
      <c r="G124" s="28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41"/>
      <c r="U124" s="41"/>
      <c r="V124" s="41"/>
      <c r="W124" s="41"/>
      <c r="X124" s="75"/>
      <c r="Y124" s="54"/>
      <c r="Z124" s="53"/>
      <c r="AA124" s="53"/>
      <c r="AB124" s="53"/>
      <c r="AC124" s="53"/>
      <c r="AD124" s="53"/>
      <c r="AE124" s="53"/>
    </row>
    <row r="125" spans="1:30" s="1" customFormat="1" ht="14.25" customHeight="1">
      <c r="A125" s="119" t="s">
        <v>60</v>
      </c>
      <c r="B125" s="23" t="s">
        <v>143</v>
      </c>
      <c r="C125" s="43" t="s">
        <v>144</v>
      </c>
      <c r="D125" s="43" t="s">
        <v>144</v>
      </c>
      <c r="E125" s="28">
        <v>7.11</v>
      </c>
      <c r="F125" s="28">
        <v>7.11</v>
      </c>
      <c r="G125" s="28">
        <v>2.93</v>
      </c>
      <c r="H125" s="29">
        <v>2.93</v>
      </c>
      <c r="I125" s="28">
        <v>6.05</v>
      </c>
      <c r="J125" s="29">
        <v>6.05</v>
      </c>
      <c r="K125" s="28">
        <v>10.4</v>
      </c>
      <c r="L125" s="29">
        <v>10.4</v>
      </c>
      <c r="M125" s="28">
        <v>107.77</v>
      </c>
      <c r="N125" s="29">
        <v>107.77</v>
      </c>
      <c r="O125" s="29">
        <v>0.08</v>
      </c>
      <c r="P125" s="29">
        <f>O125*40/60</f>
        <v>0.05333333333333334</v>
      </c>
      <c r="Q125" s="29">
        <v>0.06</v>
      </c>
      <c r="R125" s="29">
        <f>Q125*40/60</f>
        <v>0.04</v>
      </c>
      <c r="S125" s="28">
        <v>0.14</v>
      </c>
      <c r="T125" s="29">
        <v>0.14</v>
      </c>
      <c r="U125" s="29">
        <v>70.8</v>
      </c>
      <c r="V125" s="29">
        <f>U125*40/60</f>
        <v>47.2</v>
      </c>
      <c r="W125" s="29">
        <v>0.81</v>
      </c>
      <c r="X125" s="74">
        <f>W125*40/60</f>
        <v>0.5400000000000001</v>
      </c>
      <c r="Y125" s="59"/>
      <c r="Z125" s="57"/>
      <c r="AA125" s="57"/>
      <c r="AB125" s="57"/>
      <c r="AC125" s="57"/>
      <c r="AD125" s="57"/>
    </row>
    <row r="126" spans="1:31" ht="15" customHeight="1">
      <c r="A126" s="120" t="s">
        <v>56</v>
      </c>
      <c r="B126" s="64" t="s">
        <v>57</v>
      </c>
      <c r="C126" s="65" t="s">
        <v>58</v>
      </c>
      <c r="D126" s="65" t="s">
        <v>58</v>
      </c>
      <c r="E126" s="61">
        <v>6.2</v>
      </c>
      <c r="F126" s="61">
        <v>6.2</v>
      </c>
      <c r="G126" s="61">
        <v>5.1</v>
      </c>
      <c r="H126" s="61">
        <v>5.1</v>
      </c>
      <c r="I126" s="62">
        <v>4.6</v>
      </c>
      <c r="J126" s="62">
        <v>4.6</v>
      </c>
      <c r="K126" s="62">
        <v>0.3</v>
      </c>
      <c r="L126" s="62">
        <v>0.3</v>
      </c>
      <c r="M126" s="62">
        <v>63</v>
      </c>
      <c r="N126" s="62">
        <v>63</v>
      </c>
      <c r="O126" s="71">
        <v>0.03</v>
      </c>
      <c r="P126" s="71">
        <v>0.03</v>
      </c>
      <c r="Q126" s="71">
        <v>0.18</v>
      </c>
      <c r="R126" s="71">
        <v>0.18</v>
      </c>
      <c r="S126" s="71">
        <v>0</v>
      </c>
      <c r="T126" s="71">
        <v>0</v>
      </c>
      <c r="U126" s="71">
        <v>22</v>
      </c>
      <c r="V126" s="71">
        <v>22</v>
      </c>
      <c r="W126" s="71">
        <v>1.08</v>
      </c>
      <c r="X126" s="102">
        <v>1.08</v>
      </c>
      <c r="Y126" s="53"/>
      <c r="Z126" s="53"/>
      <c r="AA126" s="53"/>
      <c r="AB126" s="53"/>
      <c r="AC126" s="53"/>
      <c r="AD126" s="53"/>
      <c r="AE126" s="53"/>
    </row>
    <row r="127" spans="1:32" ht="27" customHeight="1">
      <c r="A127" s="120" t="s">
        <v>121</v>
      </c>
      <c r="B127" s="64" t="s">
        <v>122</v>
      </c>
      <c r="C127" s="65" t="s">
        <v>5</v>
      </c>
      <c r="D127" s="65" t="s">
        <v>6</v>
      </c>
      <c r="E127" s="61">
        <v>6.9</v>
      </c>
      <c r="F127" s="61">
        <v>5.17</v>
      </c>
      <c r="G127" s="61">
        <v>5.6</v>
      </c>
      <c r="H127" s="61">
        <v>4.2</v>
      </c>
      <c r="I127" s="61">
        <v>5.2</v>
      </c>
      <c r="J127" s="61">
        <f>I127*150/200</f>
        <v>3.9</v>
      </c>
      <c r="K127" s="61">
        <v>18.8</v>
      </c>
      <c r="L127" s="61">
        <f>K127*150/200</f>
        <v>14.1</v>
      </c>
      <c r="M127" s="61">
        <v>144.4</v>
      </c>
      <c r="N127" s="61">
        <f>M127*150/200</f>
        <v>108.3</v>
      </c>
      <c r="O127" s="62">
        <v>0.06</v>
      </c>
      <c r="P127" s="61">
        <f>O127*150/200</f>
        <v>0.045</v>
      </c>
      <c r="Q127" s="62">
        <v>0.15</v>
      </c>
      <c r="R127" s="61">
        <f>Q127*150/200</f>
        <v>0.1125</v>
      </c>
      <c r="S127" s="62">
        <v>0.9</v>
      </c>
      <c r="T127" s="61">
        <v>0.67</v>
      </c>
      <c r="U127" s="62">
        <v>125.06</v>
      </c>
      <c r="V127" s="61">
        <f>U127*150/200</f>
        <v>93.795</v>
      </c>
      <c r="W127" s="62">
        <v>0.35</v>
      </c>
      <c r="X127" s="130">
        <f>W127*150/200</f>
        <v>0.2625</v>
      </c>
      <c r="Y127" s="53"/>
      <c r="Z127" s="53"/>
      <c r="AA127" s="53"/>
      <c r="AB127" s="53"/>
      <c r="AC127" s="53"/>
      <c r="AD127" s="53"/>
      <c r="AE127" s="53"/>
      <c r="AF127" s="53"/>
    </row>
    <row r="128" spans="1:31" ht="15.75" customHeight="1">
      <c r="A128" s="119" t="s">
        <v>50</v>
      </c>
      <c r="B128" s="23" t="s">
        <v>52</v>
      </c>
      <c r="C128" s="43" t="s">
        <v>31</v>
      </c>
      <c r="D128" s="43" t="s">
        <v>6</v>
      </c>
      <c r="E128" s="28">
        <v>6.07</v>
      </c>
      <c r="F128" s="28">
        <v>4.88</v>
      </c>
      <c r="G128" s="28">
        <v>2.85</v>
      </c>
      <c r="H128" s="29">
        <v>2.34</v>
      </c>
      <c r="I128" s="28">
        <v>2.41</v>
      </c>
      <c r="J128" s="29">
        <v>2</v>
      </c>
      <c r="K128" s="28">
        <v>14.36</v>
      </c>
      <c r="L128" s="29">
        <v>10.63</v>
      </c>
      <c r="M128" s="28">
        <v>91</v>
      </c>
      <c r="N128" s="29">
        <v>70</v>
      </c>
      <c r="O128" s="28">
        <f>P128*180/150</f>
        <v>0.012</v>
      </c>
      <c r="P128" s="44">
        <v>0.01</v>
      </c>
      <c r="Q128" s="28">
        <f>R128*180/150</f>
        <v>0.084</v>
      </c>
      <c r="R128" s="44">
        <v>0.07</v>
      </c>
      <c r="S128" s="28">
        <v>1.17</v>
      </c>
      <c r="T128" s="29">
        <f>S128*150/180</f>
        <v>0.975</v>
      </c>
      <c r="U128" s="28">
        <f>V128*180/150</f>
        <v>57.516</v>
      </c>
      <c r="V128" s="44">
        <v>47.93</v>
      </c>
      <c r="W128" s="28">
        <f>X128*180/150</f>
        <v>0.264</v>
      </c>
      <c r="X128" s="44">
        <v>0.22</v>
      </c>
      <c r="Y128" s="53"/>
      <c r="Z128" s="53"/>
      <c r="AA128" s="53"/>
      <c r="AB128" s="53"/>
      <c r="AC128" s="53"/>
      <c r="AD128" s="53"/>
      <c r="AE128" s="53"/>
    </row>
    <row r="129" spans="1:31" ht="15" customHeight="1">
      <c r="A129" s="22"/>
      <c r="B129" s="23" t="s">
        <v>7</v>
      </c>
      <c r="C129" s="43"/>
      <c r="D129" s="43"/>
      <c r="E129" s="17">
        <f>SUM(E125:E128)</f>
        <v>26.28</v>
      </c>
      <c r="F129" s="17">
        <f aca="true" t="shared" si="29" ref="F129:T129">SUM(F125:F128)</f>
        <v>23.36</v>
      </c>
      <c r="G129" s="17">
        <f t="shared" si="29"/>
        <v>16.48</v>
      </c>
      <c r="H129" s="17">
        <f t="shared" si="29"/>
        <v>14.57</v>
      </c>
      <c r="I129" s="17">
        <f t="shared" si="29"/>
        <v>18.259999999999998</v>
      </c>
      <c r="J129" s="17">
        <f t="shared" si="29"/>
        <v>16.549999999999997</v>
      </c>
      <c r="K129" s="17">
        <f t="shared" si="29"/>
        <v>43.86</v>
      </c>
      <c r="L129" s="17">
        <f t="shared" si="29"/>
        <v>35.43</v>
      </c>
      <c r="M129" s="17">
        <f t="shared" si="29"/>
        <v>406.16999999999996</v>
      </c>
      <c r="N129" s="17">
        <f t="shared" si="29"/>
        <v>349.07</v>
      </c>
      <c r="O129" s="17">
        <f t="shared" si="29"/>
        <v>0.182</v>
      </c>
      <c r="P129" s="17">
        <f t="shared" si="29"/>
        <v>0.13833333333333336</v>
      </c>
      <c r="Q129" s="17">
        <f t="shared" si="29"/>
        <v>0.47400000000000003</v>
      </c>
      <c r="R129" s="17">
        <f t="shared" si="29"/>
        <v>0.4025</v>
      </c>
      <c r="S129" s="17">
        <f t="shared" si="29"/>
        <v>2.21</v>
      </c>
      <c r="T129" s="17">
        <f t="shared" si="29"/>
        <v>1.7850000000000001</v>
      </c>
      <c r="U129" s="17">
        <f>SUM(U125:U128)</f>
        <v>275.37600000000003</v>
      </c>
      <c r="V129" s="17">
        <f>SUM(V125:V128)</f>
        <v>210.925</v>
      </c>
      <c r="W129" s="17">
        <f>SUM(W125:W128)</f>
        <v>2.5040000000000004</v>
      </c>
      <c r="X129" s="17">
        <f>SUM(X125:X128)</f>
        <v>2.1025</v>
      </c>
      <c r="Y129" s="63"/>
      <c r="Z129" s="58"/>
      <c r="AA129" s="58"/>
      <c r="AB129" s="58"/>
      <c r="AC129" s="58"/>
      <c r="AD129" s="53"/>
      <c r="AE129" s="53"/>
    </row>
    <row r="130" spans="1:31" ht="15" customHeight="1">
      <c r="A130" s="22"/>
      <c r="B130" s="89" t="s">
        <v>19</v>
      </c>
      <c r="C130" s="43"/>
      <c r="D130" s="43"/>
      <c r="E130" s="28"/>
      <c r="F130" s="28"/>
      <c r="G130" s="28"/>
      <c r="H130" s="45"/>
      <c r="I130" s="45"/>
      <c r="J130" s="45"/>
      <c r="K130" s="45"/>
      <c r="L130" s="45"/>
      <c r="M130" s="45"/>
      <c r="N130" s="45"/>
      <c r="O130" s="41"/>
      <c r="P130" s="41"/>
      <c r="Q130" s="41"/>
      <c r="R130" s="41"/>
      <c r="S130" s="41"/>
      <c r="T130" s="41"/>
      <c r="U130" s="41"/>
      <c r="V130" s="41"/>
      <c r="W130" s="41"/>
      <c r="X130" s="75"/>
      <c r="Y130" s="54"/>
      <c r="Z130" s="53"/>
      <c r="AA130" s="53"/>
      <c r="AB130" s="53"/>
      <c r="AC130" s="53"/>
      <c r="AD130" s="53"/>
      <c r="AE130" s="53"/>
    </row>
    <row r="131" spans="1:30" ht="15" customHeight="1">
      <c r="A131" s="22" t="s">
        <v>25</v>
      </c>
      <c r="B131" s="23" t="s">
        <v>163</v>
      </c>
      <c r="C131" s="43" t="s">
        <v>183</v>
      </c>
      <c r="D131" s="43" t="s">
        <v>190</v>
      </c>
      <c r="E131" s="28">
        <v>13.13</v>
      </c>
      <c r="F131" s="28">
        <v>12.33</v>
      </c>
      <c r="G131" s="28">
        <v>4.05</v>
      </c>
      <c r="H131" s="152">
        <f>G131*155/180</f>
        <v>3.4875</v>
      </c>
      <c r="I131" s="28">
        <v>5.89</v>
      </c>
      <c r="J131" s="152">
        <f>I131*155/180</f>
        <v>5.071944444444444</v>
      </c>
      <c r="K131" s="28">
        <v>6.54</v>
      </c>
      <c r="L131" s="152">
        <f>K131*155/180</f>
        <v>5.631666666666667</v>
      </c>
      <c r="M131" s="28">
        <v>85.05</v>
      </c>
      <c r="N131" s="152">
        <f>M131*155/180</f>
        <v>73.2375</v>
      </c>
      <c r="O131" s="28">
        <v>0.06</v>
      </c>
      <c r="P131" s="29">
        <f>O131*150/180</f>
        <v>0.05</v>
      </c>
      <c r="Q131" s="28">
        <v>0.25</v>
      </c>
      <c r="R131" s="29">
        <f>Q131*150/180</f>
        <v>0.20833333333333334</v>
      </c>
      <c r="S131" s="28">
        <v>1.29</v>
      </c>
      <c r="T131" s="152">
        <f>S131*155/180</f>
        <v>1.1108333333333333</v>
      </c>
      <c r="U131" s="28">
        <v>235.31</v>
      </c>
      <c r="V131" s="29">
        <f>U131*150/180</f>
        <v>196.09166666666667</v>
      </c>
      <c r="W131" s="28">
        <v>0.19</v>
      </c>
      <c r="X131" s="74">
        <f>W131*150/180</f>
        <v>0.15833333333333333</v>
      </c>
      <c r="Y131" s="59"/>
      <c r="Z131" s="57"/>
      <c r="AA131" s="57"/>
      <c r="AB131" s="57"/>
      <c r="AC131" s="57"/>
      <c r="AD131" s="57"/>
    </row>
    <row r="132" spans="1:31" ht="15" customHeight="1">
      <c r="A132" s="22"/>
      <c r="B132" s="23" t="s">
        <v>7</v>
      </c>
      <c r="C132" s="43"/>
      <c r="D132" s="43"/>
      <c r="E132" s="17">
        <f>SUM(E131)</f>
        <v>13.13</v>
      </c>
      <c r="F132" s="17">
        <f aca="true" t="shared" si="30" ref="F132:T132">SUM(F131)</f>
        <v>12.33</v>
      </c>
      <c r="G132" s="17">
        <f t="shared" si="30"/>
        <v>4.05</v>
      </c>
      <c r="H132" s="17">
        <f t="shared" si="30"/>
        <v>3.4875</v>
      </c>
      <c r="I132" s="17">
        <f t="shared" si="30"/>
        <v>5.89</v>
      </c>
      <c r="J132" s="17">
        <f t="shared" si="30"/>
        <v>5.071944444444444</v>
      </c>
      <c r="K132" s="17">
        <f t="shared" si="30"/>
        <v>6.54</v>
      </c>
      <c r="L132" s="17">
        <f t="shared" si="30"/>
        <v>5.631666666666667</v>
      </c>
      <c r="M132" s="17">
        <f t="shared" si="30"/>
        <v>85.05</v>
      </c>
      <c r="N132" s="17">
        <f t="shared" si="30"/>
        <v>73.2375</v>
      </c>
      <c r="O132" s="17">
        <f t="shared" si="30"/>
        <v>0.06</v>
      </c>
      <c r="P132" s="17">
        <f t="shared" si="30"/>
        <v>0.05</v>
      </c>
      <c r="Q132" s="17">
        <f t="shared" si="30"/>
        <v>0.25</v>
      </c>
      <c r="R132" s="17">
        <f t="shared" si="30"/>
        <v>0.20833333333333334</v>
      </c>
      <c r="S132" s="17">
        <f t="shared" si="30"/>
        <v>1.29</v>
      </c>
      <c r="T132" s="17">
        <f t="shared" si="30"/>
        <v>1.1108333333333333</v>
      </c>
      <c r="U132" s="17">
        <f>SUM(U131)</f>
        <v>235.31</v>
      </c>
      <c r="V132" s="17">
        <f>SUM(V131)</f>
        <v>196.09166666666667</v>
      </c>
      <c r="W132" s="17">
        <f>SUM(W131)</f>
        <v>0.19</v>
      </c>
      <c r="X132" s="17">
        <f>SUM(X131)</f>
        <v>0.15833333333333333</v>
      </c>
      <c r="Y132" s="72">
        <f>SUM(Y131)</f>
        <v>0</v>
      </c>
      <c r="Z132" s="58"/>
      <c r="AA132" s="58"/>
      <c r="AB132" s="58"/>
      <c r="AC132" s="58"/>
      <c r="AD132" s="58"/>
      <c r="AE132" s="53"/>
    </row>
    <row r="133" spans="1:31" ht="15" customHeight="1">
      <c r="A133" s="22"/>
      <c r="B133" s="89" t="s">
        <v>9</v>
      </c>
      <c r="C133" s="43"/>
      <c r="D133" s="43"/>
      <c r="E133" s="28"/>
      <c r="F133" s="28"/>
      <c r="G133" s="28"/>
      <c r="H133" s="29"/>
      <c r="I133" s="29"/>
      <c r="J133" s="29"/>
      <c r="K133" s="29"/>
      <c r="L133" s="29"/>
      <c r="M133" s="29"/>
      <c r="N133" s="29"/>
      <c r="O133" s="41"/>
      <c r="P133" s="41"/>
      <c r="Q133" s="41"/>
      <c r="R133" s="41"/>
      <c r="S133" s="41"/>
      <c r="T133" s="41"/>
      <c r="U133" s="41"/>
      <c r="V133" s="41"/>
      <c r="W133" s="41"/>
      <c r="X133" s="75"/>
      <c r="Y133" s="54"/>
      <c r="Z133" s="53"/>
      <c r="AA133" s="53"/>
      <c r="AB133" s="53"/>
      <c r="AC133" s="53"/>
      <c r="AD133" s="53"/>
      <c r="AE133" s="53"/>
    </row>
    <row r="134" spans="1:31" ht="25.5">
      <c r="A134" s="120" t="s">
        <v>167</v>
      </c>
      <c r="B134" s="107" t="s">
        <v>168</v>
      </c>
      <c r="C134" s="65" t="s">
        <v>30</v>
      </c>
      <c r="D134" s="65" t="s">
        <v>87</v>
      </c>
      <c r="E134" s="61">
        <v>2.17</v>
      </c>
      <c r="F134" s="61">
        <v>1.81</v>
      </c>
      <c r="G134" s="61">
        <v>0.94</v>
      </c>
      <c r="H134" s="62">
        <v>0.94</v>
      </c>
      <c r="I134" s="61">
        <v>3.07</v>
      </c>
      <c r="J134" s="62">
        <v>3.07</v>
      </c>
      <c r="K134" s="61">
        <v>6.56</v>
      </c>
      <c r="L134" s="62">
        <v>6.56</v>
      </c>
      <c r="M134" s="61">
        <v>57.06</v>
      </c>
      <c r="N134" s="62">
        <v>57.06</v>
      </c>
      <c r="O134" s="62">
        <v>0.04</v>
      </c>
      <c r="P134" s="62">
        <f>O134*45/60</f>
        <v>0.030000000000000002</v>
      </c>
      <c r="Q134" s="62">
        <v>0.02</v>
      </c>
      <c r="R134" s="62">
        <f>Q134*45/60</f>
        <v>0.015000000000000001</v>
      </c>
      <c r="S134" s="61">
        <v>2.95</v>
      </c>
      <c r="T134" s="62">
        <v>2.95</v>
      </c>
      <c r="U134" s="62">
        <v>13.18</v>
      </c>
      <c r="V134" s="62">
        <f>U134*45/60</f>
        <v>9.885</v>
      </c>
      <c r="W134" s="62">
        <v>0.62</v>
      </c>
      <c r="X134" s="62">
        <f>W134*45/60</f>
        <v>0.46499999999999997</v>
      </c>
      <c r="Z134" s="53"/>
      <c r="AA134" s="53"/>
      <c r="AB134" s="53"/>
      <c r="AC134" s="53"/>
      <c r="AD134" s="53"/>
      <c r="AE134" s="53"/>
    </row>
    <row r="135" spans="1:33" ht="27.75" customHeight="1">
      <c r="A135" s="22" t="s">
        <v>76</v>
      </c>
      <c r="B135" s="140" t="s">
        <v>137</v>
      </c>
      <c r="C135" s="43" t="s">
        <v>111</v>
      </c>
      <c r="D135" s="43" t="s">
        <v>112</v>
      </c>
      <c r="E135" s="28">
        <v>6.25</v>
      </c>
      <c r="F135" s="28">
        <v>4.91</v>
      </c>
      <c r="G135" s="28">
        <v>1.9</v>
      </c>
      <c r="H135" s="29">
        <v>1.46</v>
      </c>
      <c r="I135" s="29">
        <v>4.27</v>
      </c>
      <c r="J135" s="29">
        <v>3.39</v>
      </c>
      <c r="K135" s="29">
        <v>10.08</v>
      </c>
      <c r="L135" s="29">
        <v>7.6</v>
      </c>
      <c r="M135" s="29">
        <v>86.35</v>
      </c>
      <c r="N135" s="29">
        <v>66.75</v>
      </c>
      <c r="O135" s="29">
        <v>0.1</v>
      </c>
      <c r="P135" s="29">
        <f>O135*150/200</f>
        <v>0.075</v>
      </c>
      <c r="Q135" s="29">
        <v>0.06</v>
      </c>
      <c r="R135" s="29">
        <f>Q135*150/200</f>
        <v>0.045</v>
      </c>
      <c r="S135" s="29">
        <v>14.15</v>
      </c>
      <c r="T135" s="29">
        <v>10.15</v>
      </c>
      <c r="U135" s="29">
        <v>41.92</v>
      </c>
      <c r="V135" s="29">
        <f>U135*150/200</f>
        <v>31.44</v>
      </c>
      <c r="W135" s="29">
        <v>1.55</v>
      </c>
      <c r="X135" s="74">
        <f>W135*150/200</f>
        <v>1.1625</v>
      </c>
      <c r="Y135" s="54"/>
      <c r="Z135" s="53"/>
      <c r="AA135" s="53"/>
      <c r="AB135" s="53"/>
      <c r="AC135" s="53"/>
      <c r="AD135" s="53"/>
      <c r="AE135" s="53"/>
      <c r="AF135" s="53"/>
      <c r="AG135" s="53"/>
    </row>
    <row r="136" spans="1:24" s="7" customFormat="1" ht="15" customHeight="1">
      <c r="A136" s="127" t="s">
        <v>119</v>
      </c>
      <c r="B136" s="67" t="s">
        <v>120</v>
      </c>
      <c r="C136" s="65" t="s">
        <v>10</v>
      </c>
      <c r="D136" s="65" t="s">
        <v>10</v>
      </c>
      <c r="E136" s="61">
        <v>23.56</v>
      </c>
      <c r="F136" s="61">
        <v>23.56</v>
      </c>
      <c r="G136" s="61">
        <v>8.25</v>
      </c>
      <c r="H136" s="61">
        <v>8.25</v>
      </c>
      <c r="I136" s="61">
        <v>13.5</v>
      </c>
      <c r="J136" s="62">
        <v>13.5</v>
      </c>
      <c r="K136" s="62">
        <v>6</v>
      </c>
      <c r="L136" s="62">
        <v>6</v>
      </c>
      <c r="M136" s="62">
        <v>178</v>
      </c>
      <c r="N136" s="62">
        <v>178</v>
      </c>
      <c r="O136" s="62">
        <v>0.05</v>
      </c>
      <c r="P136" s="62">
        <v>0.05</v>
      </c>
      <c r="Q136" s="129">
        <v>0.08</v>
      </c>
      <c r="R136" s="129">
        <v>0.08</v>
      </c>
      <c r="S136" s="62">
        <v>0</v>
      </c>
      <c r="T136" s="62">
        <v>0</v>
      </c>
      <c r="U136" s="69">
        <v>5.85</v>
      </c>
      <c r="V136" s="69">
        <v>5.85</v>
      </c>
      <c r="W136" s="69">
        <v>0.85</v>
      </c>
      <c r="X136" s="69">
        <v>0.85</v>
      </c>
    </row>
    <row r="137" spans="1:29" s="8" customFormat="1" ht="15" customHeight="1">
      <c r="A137" s="120" t="s">
        <v>91</v>
      </c>
      <c r="B137" s="64" t="s">
        <v>92</v>
      </c>
      <c r="C137" s="65" t="s">
        <v>6</v>
      </c>
      <c r="D137" s="65" t="s">
        <v>72</v>
      </c>
      <c r="E137" s="62">
        <v>4.21</v>
      </c>
      <c r="F137" s="62">
        <v>3.65</v>
      </c>
      <c r="G137" s="62">
        <f>H137*150/130</f>
        <v>31.753846153846155</v>
      </c>
      <c r="H137" s="62">
        <v>27.52</v>
      </c>
      <c r="I137" s="62">
        <f>J137*150/130</f>
        <v>10.407692307692308</v>
      </c>
      <c r="J137" s="62">
        <v>9.02</v>
      </c>
      <c r="K137" s="62">
        <f>L137*150/130</f>
        <v>70.08461538461539</v>
      </c>
      <c r="L137" s="62">
        <v>60.74</v>
      </c>
      <c r="M137" s="62">
        <f>N137*150/130</f>
        <v>501.0346153846154</v>
      </c>
      <c r="N137" s="62">
        <v>434.23</v>
      </c>
      <c r="O137" s="118">
        <v>0.57</v>
      </c>
      <c r="P137" s="62">
        <f>O137*100/130</f>
        <v>0.4384615384615384</v>
      </c>
      <c r="Q137" s="118">
        <v>0.12</v>
      </c>
      <c r="R137" s="62">
        <f>Q137*100/130</f>
        <v>0.09230769230769231</v>
      </c>
      <c r="S137" s="118">
        <v>0</v>
      </c>
      <c r="T137" s="62">
        <f>S137*100/130</f>
        <v>0</v>
      </c>
      <c r="U137" s="118">
        <v>57.69</v>
      </c>
      <c r="V137" s="62">
        <f>U137*100/130</f>
        <v>44.37692307692308</v>
      </c>
      <c r="W137" s="40">
        <v>4.47</v>
      </c>
      <c r="X137" s="70">
        <f>W137*100/130</f>
        <v>3.4384615384615387</v>
      </c>
      <c r="Y137" s="108"/>
      <c r="Z137" s="104"/>
      <c r="AA137" s="104"/>
      <c r="AB137" s="104"/>
      <c r="AC137" s="104"/>
    </row>
    <row r="138" spans="1:29" ht="15.75" customHeight="1">
      <c r="A138" s="120" t="s">
        <v>125</v>
      </c>
      <c r="B138" s="64" t="s">
        <v>126</v>
      </c>
      <c r="C138" s="65" t="s">
        <v>5</v>
      </c>
      <c r="D138" s="65" t="s">
        <v>6</v>
      </c>
      <c r="E138" s="61">
        <v>4.47</v>
      </c>
      <c r="F138" s="61">
        <v>3.35</v>
      </c>
      <c r="G138" s="66">
        <v>0.4</v>
      </c>
      <c r="H138" s="68">
        <v>0.3</v>
      </c>
      <c r="I138" s="66">
        <f>J138*200/150</f>
        <v>0</v>
      </c>
      <c r="J138" s="68">
        <v>0</v>
      </c>
      <c r="K138" s="66">
        <v>23.6</v>
      </c>
      <c r="L138" s="68">
        <v>17.7</v>
      </c>
      <c r="M138" s="66">
        <v>94</v>
      </c>
      <c r="N138" s="68">
        <v>70.5</v>
      </c>
      <c r="O138" s="62">
        <v>0.02</v>
      </c>
      <c r="P138" s="62">
        <f>O138*150/200</f>
        <v>0.015</v>
      </c>
      <c r="Q138" s="62">
        <v>0.01</v>
      </c>
      <c r="R138" s="62">
        <f>Q138*150/200</f>
        <v>0.0075</v>
      </c>
      <c r="S138" s="62">
        <v>100</v>
      </c>
      <c r="T138" s="62">
        <v>75</v>
      </c>
      <c r="U138" s="69">
        <v>25.91</v>
      </c>
      <c r="V138" s="62">
        <f>U138*150/200</f>
        <v>19.4325</v>
      </c>
      <c r="W138" s="69">
        <v>0.65</v>
      </c>
      <c r="X138" s="81">
        <f>W138*150/200</f>
        <v>0.4875</v>
      </c>
      <c r="Y138" s="53"/>
      <c r="Z138" s="53"/>
      <c r="AA138" s="53"/>
      <c r="AB138" s="53"/>
      <c r="AC138" s="53"/>
    </row>
    <row r="139" spans="1:31" s="16" customFormat="1" ht="15" customHeight="1">
      <c r="A139" s="119"/>
      <c r="B139" s="23" t="s">
        <v>11</v>
      </c>
      <c r="C139" s="43" t="s">
        <v>14</v>
      </c>
      <c r="D139" s="43" t="s">
        <v>14</v>
      </c>
      <c r="E139" s="28">
        <v>1.22</v>
      </c>
      <c r="F139" s="28">
        <v>1.22</v>
      </c>
      <c r="G139" s="28">
        <v>1.6</v>
      </c>
      <c r="H139" s="28">
        <v>1.6</v>
      </c>
      <c r="I139" s="28">
        <v>0.4</v>
      </c>
      <c r="J139" s="28">
        <v>0.4</v>
      </c>
      <c r="K139" s="28">
        <v>10</v>
      </c>
      <c r="L139" s="28">
        <v>10</v>
      </c>
      <c r="M139" s="29">
        <v>54</v>
      </c>
      <c r="N139" s="29">
        <v>54</v>
      </c>
      <c r="O139" s="42">
        <v>0.04</v>
      </c>
      <c r="P139" s="47">
        <v>0.04</v>
      </c>
      <c r="Q139" s="42">
        <v>0.02</v>
      </c>
      <c r="R139" s="47">
        <v>0.02</v>
      </c>
      <c r="S139" s="42">
        <v>0</v>
      </c>
      <c r="T139" s="47">
        <v>0</v>
      </c>
      <c r="U139" s="42">
        <v>7.4</v>
      </c>
      <c r="V139" s="47">
        <v>7.4</v>
      </c>
      <c r="W139" s="42">
        <v>0.56</v>
      </c>
      <c r="X139" s="47">
        <v>0.56</v>
      </c>
      <c r="Y139" s="56"/>
      <c r="Z139" s="56"/>
      <c r="AA139" s="56"/>
      <c r="AB139" s="56"/>
      <c r="AC139" s="56"/>
      <c r="AD139" s="56"/>
      <c r="AE139" s="56"/>
    </row>
    <row r="140" spans="1:31" ht="15" customHeight="1">
      <c r="A140" s="119"/>
      <c r="B140" s="23" t="s">
        <v>47</v>
      </c>
      <c r="C140" s="43" t="s">
        <v>73</v>
      </c>
      <c r="D140" s="43" t="s">
        <v>74</v>
      </c>
      <c r="E140" s="28">
        <v>2.3</v>
      </c>
      <c r="F140" s="28">
        <v>2.01</v>
      </c>
      <c r="G140" s="28">
        <v>3.25</v>
      </c>
      <c r="H140" s="29">
        <v>2.84</v>
      </c>
      <c r="I140" s="29">
        <v>0.46</v>
      </c>
      <c r="J140" s="29">
        <f>I140*40.6/46</f>
        <v>0.406</v>
      </c>
      <c r="K140" s="29">
        <v>20.88</v>
      </c>
      <c r="L140" s="29">
        <v>18.27</v>
      </c>
      <c r="M140" s="29">
        <v>102.08</v>
      </c>
      <c r="N140" s="29">
        <v>89.32</v>
      </c>
      <c r="O140" s="40">
        <v>0.06</v>
      </c>
      <c r="P140" s="44">
        <v>0.04</v>
      </c>
      <c r="Q140" s="40">
        <v>0.04</v>
      </c>
      <c r="R140" s="44">
        <v>0.03</v>
      </c>
      <c r="S140" s="40">
        <v>0</v>
      </c>
      <c r="T140" s="29">
        <f>S140*40.6/46</f>
        <v>0</v>
      </c>
      <c r="U140" s="42">
        <v>17</v>
      </c>
      <c r="V140" s="47">
        <v>13.6</v>
      </c>
      <c r="W140" s="42">
        <v>1.15</v>
      </c>
      <c r="X140" s="47">
        <v>0.92</v>
      </c>
      <c r="Y140" s="53"/>
      <c r="Z140" s="53"/>
      <c r="AA140" s="53"/>
      <c r="AB140" s="53"/>
      <c r="AC140" s="53"/>
      <c r="AD140" s="53"/>
      <c r="AE140" s="53"/>
    </row>
    <row r="141" spans="1:31" ht="15" customHeight="1">
      <c r="A141" s="22"/>
      <c r="B141" s="23" t="s">
        <v>7</v>
      </c>
      <c r="C141" s="43"/>
      <c r="D141" s="43"/>
      <c r="E141" s="17">
        <f>SUM(E134:E140)</f>
        <v>44.17999999999999</v>
      </c>
      <c r="F141" s="17">
        <f>SUM(F134:F140)</f>
        <v>40.51</v>
      </c>
      <c r="G141" s="17">
        <f>SUM(G134:G140)-10</f>
        <v>38.09384615384616</v>
      </c>
      <c r="H141" s="17">
        <f>SUM(H134:H140)-10</f>
        <v>32.91</v>
      </c>
      <c r="I141" s="17">
        <f>SUM(I134:I140)-10</f>
        <v>22.107692307692304</v>
      </c>
      <c r="J141" s="17">
        <f>SUM(J134:J140)-10</f>
        <v>19.785999999999998</v>
      </c>
      <c r="K141" s="17">
        <f>SUM(K134:K140)-30</f>
        <v>117.20461538461538</v>
      </c>
      <c r="L141" s="17">
        <f>SUM(L134:L140)-30</f>
        <v>96.87</v>
      </c>
      <c r="M141" s="17">
        <f>SUM(M134:M140)-200</f>
        <v>872.5246153846153</v>
      </c>
      <c r="N141" s="17">
        <f>SUM(N134:N140)-200</f>
        <v>749.8599999999999</v>
      </c>
      <c r="O141" s="17">
        <f>SUM(O134:O140)</f>
        <v>0.8800000000000001</v>
      </c>
      <c r="P141" s="17">
        <f>SUM(P134:P140)</f>
        <v>0.6884615384615385</v>
      </c>
      <c r="Q141" s="17">
        <f>SUM(Q134:Q140)</f>
        <v>0.35000000000000003</v>
      </c>
      <c r="R141" s="17">
        <f>SUM(R134:R140)</f>
        <v>0.2898076923076923</v>
      </c>
      <c r="S141" s="17">
        <f>SUM(S134:S140)-40</f>
        <v>77.1</v>
      </c>
      <c r="T141" s="17">
        <f>SUM(T134:T140)-40</f>
        <v>48.099999999999994</v>
      </c>
      <c r="U141" s="17">
        <f>SUM(U134:U140)</f>
        <v>168.95000000000002</v>
      </c>
      <c r="V141" s="17">
        <f>SUM(V134:V140)</f>
        <v>131.9844230769231</v>
      </c>
      <c r="W141" s="17">
        <f>SUM(W134:W140)</f>
        <v>9.850000000000001</v>
      </c>
      <c r="X141" s="17">
        <f>SUM(X134:X140)</f>
        <v>7.883461538461539</v>
      </c>
      <c r="Y141" s="72">
        <f>SUM(Y134:Y140)</f>
        <v>0</v>
      </c>
      <c r="Z141" s="58"/>
      <c r="AA141" s="58"/>
      <c r="AB141" s="58"/>
      <c r="AC141" s="58"/>
      <c r="AD141" s="53"/>
      <c r="AE141" s="53"/>
    </row>
    <row r="142" spans="1:31" ht="15" customHeight="1">
      <c r="A142" s="22"/>
      <c r="B142" s="89" t="s">
        <v>12</v>
      </c>
      <c r="C142" s="43"/>
      <c r="D142" s="43"/>
      <c r="E142" s="28"/>
      <c r="F142" s="28"/>
      <c r="G142" s="28"/>
      <c r="H142" s="29"/>
      <c r="I142" s="29"/>
      <c r="J142" s="29"/>
      <c r="K142" s="29"/>
      <c r="L142" s="29"/>
      <c r="M142" s="29"/>
      <c r="N142" s="29"/>
      <c r="O142" s="41"/>
      <c r="P142" s="41"/>
      <c r="Q142" s="41"/>
      <c r="R142" s="41"/>
      <c r="S142" s="41"/>
      <c r="T142" s="41"/>
      <c r="U142" s="41"/>
      <c r="V142" s="41"/>
      <c r="W142" s="41"/>
      <c r="X142" s="75"/>
      <c r="Y142" s="54"/>
      <c r="Z142" s="53"/>
      <c r="AA142" s="53"/>
      <c r="AB142" s="53"/>
      <c r="AC142" s="53"/>
      <c r="AD142" s="53"/>
      <c r="AE142" s="53"/>
    </row>
    <row r="143" spans="1:31" ht="15" customHeight="1">
      <c r="A143" s="119" t="s">
        <v>23</v>
      </c>
      <c r="B143" s="23" t="s">
        <v>20</v>
      </c>
      <c r="C143" s="43" t="s">
        <v>5</v>
      </c>
      <c r="D143" s="43" t="s">
        <v>5</v>
      </c>
      <c r="E143" s="28">
        <v>11.51</v>
      </c>
      <c r="F143" s="28">
        <v>11.51</v>
      </c>
      <c r="G143" s="28">
        <f>H143*180/180</f>
        <v>5.31</v>
      </c>
      <c r="H143" s="29">
        <v>5.31</v>
      </c>
      <c r="I143" s="28">
        <f>J143*180/180</f>
        <v>4.5</v>
      </c>
      <c r="J143" s="29">
        <v>4.5</v>
      </c>
      <c r="K143" s="28">
        <f>L143*180/180</f>
        <v>8.91</v>
      </c>
      <c r="L143" s="29">
        <v>8.91</v>
      </c>
      <c r="M143" s="28">
        <f>N143*180/180</f>
        <v>97.37999999999998</v>
      </c>
      <c r="N143" s="29">
        <v>97.38</v>
      </c>
      <c r="O143" s="28">
        <v>0.07</v>
      </c>
      <c r="P143" s="29">
        <v>0.07</v>
      </c>
      <c r="Q143" s="28">
        <v>0.3</v>
      </c>
      <c r="R143" s="29">
        <v>0.3</v>
      </c>
      <c r="S143" s="28">
        <f>T143*180/180</f>
        <v>2.46</v>
      </c>
      <c r="T143" s="29">
        <v>2.46</v>
      </c>
      <c r="U143" s="28">
        <v>275.74</v>
      </c>
      <c r="V143" s="29">
        <v>275.74</v>
      </c>
      <c r="W143" s="28">
        <v>0.23</v>
      </c>
      <c r="X143" s="29">
        <v>0.23</v>
      </c>
      <c r="Y143" s="57"/>
      <c r="Z143" s="57"/>
      <c r="AA143" s="57"/>
      <c r="AB143" s="57"/>
      <c r="AC143" s="57"/>
      <c r="AD143" s="57"/>
      <c r="AE143" s="53"/>
    </row>
    <row r="144" spans="1:31" ht="12.75">
      <c r="A144" s="122" t="s">
        <v>103</v>
      </c>
      <c r="B144" s="9" t="s">
        <v>104</v>
      </c>
      <c r="C144" s="43" t="s">
        <v>87</v>
      </c>
      <c r="D144" s="43" t="s">
        <v>87</v>
      </c>
      <c r="E144" s="28">
        <v>2.78</v>
      </c>
      <c r="F144" s="28">
        <v>2.78</v>
      </c>
      <c r="G144" s="28">
        <v>3.04</v>
      </c>
      <c r="H144" s="29">
        <v>3.04</v>
      </c>
      <c r="I144" s="28">
        <v>2.19</v>
      </c>
      <c r="J144" s="29">
        <v>2.19</v>
      </c>
      <c r="K144" s="28">
        <v>19.54</v>
      </c>
      <c r="L144" s="29">
        <v>19.54</v>
      </c>
      <c r="M144" s="28">
        <v>110.1</v>
      </c>
      <c r="N144" s="29">
        <v>110.1</v>
      </c>
      <c r="O144" s="28"/>
      <c r="P144" s="29"/>
      <c r="Q144" s="28"/>
      <c r="R144" s="29"/>
      <c r="S144" s="28">
        <v>0</v>
      </c>
      <c r="T144" s="29">
        <v>0</v>
      </c>
      <c r="U144" s="112"/>
      <c r="V144" s="94"/>
      <c r="W144" s="112"/>
      <c r="X144" s="113"/>
      <c r="Y144" s="57"/>
      <c r="Z144" s="57"/>
      <c r="AA144" s="57"/>
      <c r="AB144" s="57"/>
      <c r="AC144" s="57"/>
      <c r="AD144" s="57"/>
      <c r="AE144" s="53"/>
    </row>
    <row r="145" spans="1:32" ht="15" customHeight="1">
      <c r="A145" s="60"/>
      <c r="B145" s="64" t="s">
        <v>7</v>
      </c>
      <c r="C145" s="109"/>
      <c r="D145" s="109"/>
      <c r="E145" s="114">
        <f>SUM(E143:E144)</f>
        <v>14.29</v>
      </c>
      <c r="F145" s="114">
        <f aca="true" t="shared" si="31" ref="F145:T145">SUM(F143:F144)</f>
        <v>14.29</v>
      </c>
      <c r="G145" s="114">
        <f t="shared" si="31"/>
        <v>8.35</v>
      </c>
      <c r="H145" s="114">
        <f t="shared" si="31"/>
        <v>8.35</v>
      </c>
      <c r="I145" s="114">
        <f t="shared" si="31"/>
        <v>6.6899999999999995</v>
      </c>
      <c r="J145" s="114">
        <f t="shared" si="31"/>
        <v>6.6899999999999995</v>
      </c>
      <c r="K145" s="114">
        <f t="shared" si="31"/>
        <v>28.45</v>
      </c>
      <c r="L145" s="114">
        <f t="shared" si="31"/>
        <v>28.45</v>
      </c>
      <c r="M145" s="114">
        <f t="shared" si="31"/>
        <v>207.47999999999996</v>
      </c>
      <c r="N145" s="114">
        <f t="shared" si="31"/>
        <v>207.48</v>
      </c>
      <c r="O145" s="114">
        <f t="shared" si="31"/>
        <v>0.07</v>
      </c>
      <c r="P145" s="114">
        <f t="shared" si="31"/>
        <v>0.07</v>
      </c>
      <c r="Q145" s="114">
        <f t="shared" si="31"/>
        <v>0.3</v>
      </c>
      <c r="R145" s="114">
        <f t="shared" si="31"/>
        <v>0.3</v>
      </c>
      <c r="S145" s="114">
        <f t="shared" si="31"/>
        <v>2.46</v>
      </c>
      <c r="T145" s="114">
        <f t="shared" si="31"/>
        <v>2.46</v>
      </c>
      <c r="U145" s="79">
        <f>SUM(U143:U143)</f>
        <v>275.74</v>
      </c>
      <c r="V145" s="79">
        <f>SUM(V143:V143)</f>
        <v>275.74</v>
      </c>
      <c r="W145" s="79">
        <f>SUM(W143:W143)</f>
        <v>0.23</v>
      </c>
      <c r="X145" s="115">
        <f>SUM(X143:X143)</f>
        <v>0.23</v>
      </c>
      <c r="Y145" s="58"/>
      <c r="Z145" s="58"/>
      <c r="AA145" s="58"/>
      <c r="AB145" s="58"/>
      <c r="AC145" s="58"/>
      <c r="AD145" s="53"/>
      <c r="AE145" s="53"/>
      <c r="AF145" s="53"/>
    </row>
    <row r="146" spans="1:31" ht="15" customHeight="1">
      <c r="A146" s="22"/>
      <c r="B146" s="89" t="s">
        <v>13</v>
      </c>
      <c r="C146" s="43"/>
      <c r="D146" s="43"/>
      <c r="E146" s="28"/>
      <c r="F146" s="28"/>
      <c r="G146" s="28"/>
      <c r="H146" s="29"/>
      <c r="I146" s="29"/>
      <c r="J146" s="29"/>
      <c r="K146" s="29"/>
      <c r="L146" s="29"/>
      <c r="M146" s="29"/>
      <c r="N146" s="29"/>
      <c r="O146" s="41"/>
      <c r="P146" s="41"/>
      <c r="Q146" s="41"/>
      <c r="R146" s="41"/>
      <c r="S146" s="41"/>
      <c r="T146" s="41"/>
      <c r="U146" s="41"/>
      <c r="V146" s="41"/>
      <c r="W146" s="41"/>
      <c r="X146" s="75"/>
      <c r="Y146" s="54"/>
      <c r="Z146" s="53"/>
      <c r="AA146" s="53"/>
      <c r="AB146" s="53"/>
      <c r="AC146" s="53"/>
      <c r="AD146" s="53"/>
      <c r="AE146" s="53"/>
    </row>
    <row r="147" spans="1:33" ht="15" customHeight="1">
      <c r="A147" s="120"/>
      <c r="B147" s="64" t="s">
        <v>113</v>
      </c>
      <c r="C147" s="65" t="s">
        <v>184</v>
      </c>
      <c r="D147" s="65" t="s">
        <v>184</v>
      </c>
      <c r="E147" s="61">
        <v>8.8</v>
      </c>
      <c r="F147" s="61">
        <v>8.8</v>
      </c>
      <c r="G147" s="61">
        <v>0.6</v>
      </c>
      <c r="H147" s="152">
        <f>G147*151/151</f>
        <v>0.6</v>
      </c>
      <c r="I147" s="61">
        <v>0</v>
      </c>
      <c r="J147" s="62">
        <v>0</v>
      </c>
      <c r="K147" s="61">
        <v>15.41</v>
      </c>
      <c r="L147" s="152">
        <f>K147*151/151</f>
        <v>15.409999999999998</v>
      </c>
      <c r="M147" s="61">
        <v>59.77</v>
      </c>
      <c r="N147" s="152">
        <f>M147*151/151</f>
        <v>59.77</v>
      </c>
      <c r="O147" s="61">
        <v>0.02</v>
      </c>
      <c r="P147" s="62">
        <v>0.02</v>
      </c>
      <c r="Q147" s="61">
        <f>R147*160/150</f>
        <v>0.05333333333333334</v>
      </c>
      <c r="R147" s="62">
        <v>0.05</v>
      </c>
      <c r="S147" s="61">
        <v>25.16</v>
      </c>
      <c r="T147" s="152">
        <f>S147*151/151</f>
        <v>25.16</v>
      </c>
      <c r="U147" s="61">
        <v>24</v>
      </c>
      <c r="V147" s="62">
        <v>24</v>
      </c>
      <c r="W147" s="61">
        <v>3.3</v>
      </c>
      <c r="X147" s="70">
        <v>3.3</v>
      </c>
      <c r="Y147" s="54"/>
      <c r="Z147" s="57"/>
      <c r="AA147" s="57"/>
      <c r="AB147" s="57"/>
      <c r="AC147" s="53"/>
      <c r="AD147" s="53"/>
      <c r="AE147" s="53"/>
      <c r="AF147" s="53"/>
      <c r="AG147" s="53"/>
    </row>
    <row r="148" spans="1:29" s="133" customFormat="1" ht="25.5" customHeight="1">
      <c r="A148" s="119" t="s">
        <v>138</v>
      </c>
      <c r="B148" s="23" t="s">
        <v>139</v>
      </c>
      <c r="C148" s="43" t="s">
        <v>108</v>
      </c>
      <c r="D148" s="43" t="s">
        <v>59</v>
      </c>
      <c r="E148" s="28">
        <v>11.97</v>
      </c>
      <c r="F148" s="28">
        <v>8.78</v>
      </c>
      <c r="G148" s="28">
        <v>6.12</v>
      </c>
      <c r="H148" s="29">
        <v>4.8</v>
      </c>
      <c r="I148" s="28">
        <v>16.41</v>
      </c>
      <c r="J148" s="29">
        <v>14</v>
      </c>
      <c r="K148" s="28">
        <v>27.9</v>
      </c>
      <c r="L148" s="29">
        <v>20.1</v>
      </c>
      <c r="M148" s="28">
        <v>283.77</v>
      </c>
      <c r="N148" s="29">
        <v>225.6</v>
      </c>
      <c r="O148" s="29">
        <v>0.2</v>
      </c>
      <c r="P148" s="29">
        <v>0.14</v>
      </c>
      <c r="Q148" s="29">
        <v>0.13</v>
      </c>
      <c r="R148" s="29">
        <v>0.1</v>
      </c>
      <c r="S148" s="28">
        <v>13.5</v>
      </c>
      <c r="T148" s="29">
        <v>11.2</v>
      </c>
      <c r="U148" s="29">
        <v>95.29</v>
      </c>
      <c r="V148" s="29">
        <v>73.98</v>
      </c>
      <c r="W148" s="29">
        <v>2.33</v>
      </c>
      <c r="X148" s="74">
        <v>1.57</v>
      </c>
      <c r="Y148" s="141"/>
      <c r="Z148" s="82"/>
      <c r="AA148" s="82"/>
      <c r="AB148" s="82"/>
      <c r="AC148" s="82"/>
    </row>
    <row r="149" spans="1:20" ht="15" customHeight="1">
      <c r="A149" s="22" t="s">
        <v>173</v>
      </c>
      <c r="B149" s="23" t="s">
        <v>174</v>
      </c>
      <c r="C149" s="156" t="s">
        <v>5</v>
      </c>
      <c r="D149" s="156" t="s">
        <v>6</v>
      </c>
      <c r="E149" s="87">
        <v>3.8</v>
      </c>
      <c r="F149" s="87">
        <v>2.85</v>
      </c>
      <c r="G149" s="28">
        <f>H149*200/150</f>
        <v>1.6</v>
      </c>
      <c r="H149" s="87">
        <v>1.2</v>
      </c>
      <c r="I149" s="28">
        <f>J149*200/150</f>
        <v>1.6</v>
      </c>
      <c r="J149" s="87">
        <v>1.2</v>
      </c>
      <c r="K149" s="28">
        <f>L149*200/150</f>
        <v>17.386666666666667</v>
      </c>
      <c r="L149" s="87">
        <v>13.04</v>
      </c>
      <c r="M149" s="28">
        <f>N149*200/150</f>
        <v>90.36</v>
      </c>
      <c r="N149" s="153">
        <v>67.77</v>
      </c>
      <c r="O149" s="6"/>
      <c r="S149" s="28">
        <f>T149*200/150</f>
        <v>0</v>
      </c>
      <c r="T149" s="157">
        <v>0</v>
      </c>
    </row>
    <row r="150" spans="1:31" s="16" customFormat="1" ht="15" customHeight="1">
      <c r="A150" s="119"/>
      <c r="B150" s="23" t="s">
        <v>11</v>
      </c>
      <c r="C150" s="43" t="s">
        <v>14</v>
      </c>
      <c r="D150" s="43" t="s">
        <v>14</v>
      </c>
      <c r="E150" s="28">
        <v>1.22</v>
      </c>
      <c r="F150" s="28">
        <v>1.22</v>
      </c>
      <c r="G150" s="28">
        <v>1.6</v>
      </c>
      <c r="H150" s="28">
        <v>1.6</v>
      </c>
      <c r="I150" s="28">
        <v>0.4</v>
      </c>
      <c r="J150" s="28">
        <v>0.4</v>
      </c>
      <c r="K150" s="28">
        <v>10</v>
      </c>
      <c r="L150" s="28">
        <v>10</v>
      </c>
      <c r="M150" s="29">
        <v>54</v>
      </c>
      <c r="N150" s="29">
        <v>54</v>
      </c>
      <c r="O150" s="42">
        <v>0.04</v>
      </c>
      <c r="P150" s="47">
        <v>0.04</v>
      </c>
      <c r="Q150" s="42">
        <v>0.02</v>
      </c>
      <c r="R150" s="47">
        <v>0.02</v>
      </c>
      <c r="S150" s="42">
        <v>0</v>
      </c>
      <c r="T150" s="47">
        <v>0</v>
      </c>
      <c r="U150" s="42">
        <v>7.4</v>
      </c>
      <c r="V150" s="47">
        <v>7.4</v>
      </c>
      <c r="W150" s="42">
        <v>0.56</v>
      </c>
      <c r="X150" s="47">
        <v>0.56</v>
      </c>
      <c r="Y150" s="56"/>
      <c r="Z150" s="56"/>
      <c r="AA150" s="56"/>
      <c r="AB150" s="56"/>
      <c r="AC150" s="56"/>
      <c r="AD150" s="56"/>
      <c r="AE150" s="56"/>
    </row>
    <row r="151" spans="1:31" ht="15" customHeight="1">
      <c r="A151" s="22"/>
      <c r="B151" s="23" t="s">
        <v>7</v>
      </c>
      <c r="C151" s="43"/>
      <c r="D151" s="43"/>
      <c r="E151" s="17">
        <f>SUM(E147:E150)</f>
        <v>25.790000000000003</v>
      </c>
      <c r="F151" s="17">
        <f aca="true" t="shared" si="32" ref="F151:T151">SUM(F147:F150)</f>
        <v>21.65</v>
      </c>
      <c r="G151" s="17">
        <f t="shared" si="32"/>
        <v>9.92</v>
      </c>
      <c r="H151" s="17">
        <f t="shared" si="32"/>
        <v>8.2</v>
      </c>
      <c r="I151" s="17">
        <f t="shared" si="32"/>
        <v>18.41</v>
      </c>
      <c r="J151" s="17">
        <f t="shared" si="32"/>
        <v>15.6</v>
      </c>
      <c r="K151" s="17">
        <f t="shared" si="32"/>
        <v>70.69666666666667</v>
      </c>
      <c r="L151" s="17">
        <f t="shared" si="32"/>
        <v>58.55</v>
      </c>
      <c r="M151" s="17">
        <f t="shared" si="32"/>
        <v>487.9</v>
      </c>
      <c r="N151" s="17">
        <f t="shared" si="32"/>
        <v>407.14</v>
      </c>
      <c r="O151" s="17">
        <f t="shared" si="32"/>
        <v>0.26</v>
      </c>
      <c r="P151" s="17">
        <f t="shared" si="32"/>
        <v>0.2</v>
      </c>
      <c r="Q151" s="17">
        <f t="shared" si="32"/>
        <v>0.20333333333333334</v>
      </c>
      <c r="R151" s="17">
        <f t="shared" si="32"/>
        <v>0.17</v>
      </c>
      <c r="S151" s="17">
        <f t="shared" si="32"/>
        <v>38.66</v>
      </c>
      <c r="T151" s="17">
        <f t="shared" si="32"/>
        <v>36.36</v>
      </c>
      <c r="U151" s="17">
        <f>SUM(U147:U150)</f>
        <v>126.69000000000001</v>
      </c>
      <c r="V151" s="17">
        <f>SUM(V147:V150)</f>
        <v>105.38000000000001</v>
      </c>
      <c r="W151" s="17">
        <f>SUM(W147:W150)</f>
        <v>6.1899999999999995</v>
      </c>
      <c r="X151" s="72">
        <f>SUM(X147:X150)</f>
        <v>5.43</v>
      </c>
      <c r="Y151" s="63"/>
      <c r="Z151" s="58"/>
      <c r="AA151" s="58"/>
      <c r="AB151" s="58"/>
      <c r="AC151" s="58"/>
      <c r="AD151" s="53"/>
      <c r="AE151" s="53"/>
    </row>
    <row r="152" spans="1:31" ht="15" customHeight="1">
      <c r="A152" s="22"/>
      <c r="B152" s="23" t="s">
        <v>15</v>
      </c>
      <c r="C152" s="43"/>
      <c r="D152" s="43"/>
      <c r="E152" s="17">
        <f>SUM(E151,E145,E141,E132,E129)</f>
        <v>123.66999999999999</v>
      </c>
      <c r="F152" s="17">
        <f aca="true" t="shared" si="33" ref="F152:T152">SUM(F151,F145,F141,F132,F129)</f>
        <v>112.13999999999999</v>
      </c>
      <c r="G152" s="17">
        <f t="shared" si="33"/>
        <v>76.89384615384616</v>
      </c>
      <c r="H152" s="17">
        <f t="shared" si="33"/>
        <v>67.51749999999998</v>
      </c>
      <c r="I152" s="17">
        <f t="shared" si="33"/>
        <v>71.3576923076923</v>
      </c>
      <c r="J152" s="17">
        <f t="shared" si="33"/>
        <v>63.69794444444443</v>
      </c>
      <c r="K152" s="17">
        <f t="shared" si="33"/>
        <v>266.75128205128203</v>
      </c>
      <c r="L152" s="17">
        <f t="shared" si="33"/>
        <v>224.93166666666667</v>
      </c>
      <c r="M152" s="17">
        <f t="shared" si="33"/>
        <v>2059.124615384615</v>
      </c>
      <c r="N152" s="17">
        <f t="shared" si="33"/>
        <v>1786.7875</v>
      </c>
      <c r="O152" s="17">
        <f t="shared" si="33"/>
        <v>1.4520000000000002</v>
      </c>
      <c r="P152" s="17">
        <f t="shared" si="33"/>
        <v>1.146794871794872</v>
      </c>
      <c r="Q152" s="17">
        <f t="shared" si="33"/>
        <v>1.5773333333333333</v>
      </c>
      <c r="R152" s="17">
        <f t="shared" si="33"/>
        <v>1.3706410256410257</v>
      </c>
      <c r="S152" s="17">
        <f t="shared" si="33"/>
        <v>121.72</v>
      </c>
      <c r="T152" s="17">
        <f t="shared" si="33"/>
        <v>89.81583333333332</v>
      </c>
      <c r="U152" s="17">
        <f>U151+U145+U141+U132+U129</f>
        <v>1082.066</v>
      </c>
      <c r="V152" s="17">
        <f>V151+V145+V141+V132+V129</f>
        <v>920.1210897435899</v>
      </c>
      <c r="W152" s="17">
        <f>W151+W145+W141+W132+W129</f>
        <v>18.964000000000006</v>
      </c>
      <c r="X152" s="17">
        <f>X151+X145+X141+X132+X129</f>
        <v>15.804294871794873</v>
      </c>
      <c r="Y152" s="72">
        <f>Y151+Y145+Y141+Y132+Y129</f>
        <v>0</v>
      </c>
      <c r="Z152" s="58"/>
      <c r="AA152" s="58"/>
      <c r="AB152" s="58"/>
      <c r="AC152" s="58"/>
      <c r="AD152" s="53"/>
      <c r="AE152" s="53"/>
    </row>
    <row r="153" spans="1:31" ht="15" customHeight="1">
      <c r="A153" s="27"/>
      <c r="B153" s="9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6"/>
      <c r="Y153" s="54"/>
      <c r="Z153" s="53"/>
      <c r="AA153" s="53"/>
      <c r="AB153" s="53"/>
      <c r="AC153" s="53"/>
      <c r="AD153" s="53"/>
      <c r="AE153" s="53"/>
    </row>
    <row r="154" spans="1:31" ht="15" customHeight="1">
      <c r="A154" s="27"/>
      <c r="B154" s="9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6"/>
      <c r="Y154" s="54"/>
      <c r="Z154" s="53"/>
      <c r="AA154" s="53"/>
      <c r="AB154" s="53"/>
      <c r="AC154" s="53"/>
      <c r="AD154" s="53"/>
      <c r="AE154" s="53"/>
    </row>
    <row r="155" spans="1:31" ht="15" customHeight="1">
      <c r="A155" s="27"/>
      <c r="B155" s="9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6"/>
      <c r="Y155" s="54"/>
      <c r="Z155" s="53"/>
      <c r="AA155" s="53"/>
      <c r="AB155" s="53"/>
      <c r="AC155" s="53"/>
      <c r="AD155" s="53"/>
      <c r="AE155" s="53"/>
    </row>
    <row r="156" spans="1:31" ht="15" customHeight="1">
      <c r="A156" s="27"/>
      <c r="B156" s="9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6"/>
      <c r="Y156" s="54"/>
      <c r="Z156" s="53"/>
      <c r="AA156" s="53"/>
      <c r="AB156" s="53"/>
      <c r="AC156" s="53"/>
      <c r="AD156" s="53"/>
      <c r="AE156" s="53"/>
    </row>
    <row r="157" spans="1:31" ht="15" customHeight="1">
      <c r="A157" s="27"/>
      <c r="B157" s="9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6"/>
      <c r="Y157" s="54"/>
      <c r="Z157" s="53"/>
      <c r="AA157" s="53"/>
      <c r="AB157" s="53"/>
      <c r="AC157" s="53"/>
      <c r="AD157" s="53"/>
      <c r="AE157" s="53"/>
    </row>
    <row r="158" spans="1:31" ht="15" customHeight="1">
      <c r="A158" s="27"/>
      <c r="B158" s="9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6"/>
      <c r="Y158" s="54"/>
      <c r="Z158" s="53"/>
      <c r="AA158" s="53"/>
      <c r="AB158" s="53"/>
      <c r="AC158" s="53"/>
      <c r="AD158" s="53"/>
      <c r="AE158" s="53"/>
    </row>
    <row r="159" spans="1:31" s="16" customFormat="1" ht="24" customHeight="1">
      <c r="A159" s="24"/>
      <c r="B159" s="164"/>
      <c r="C159" s="165"/>
      <c r="D159" s="166"/>
      <c r="E159" s="173" t="s">
        <v>0</v>
      </c>
      <c r="F159" s="174"/>
      <c r="G159" s="178" t="s">
        <v>36</v>
      </c>
      <c r="H159" s="178"/>
      <c r="I159" s="178"/>
      <c r="J159" s="178"/>
      <c r="K159" s="178"/>
      <c r="L159" s="178"/>
      <c r="M159" s="187" t="s">
        <v>37</v>
      </c>
      <c r="N159" s="187"/>
      <c r="O159" s="179" t="s">
        <v>38</v>
      </c>
      <c r="P159" s="179"/>
      <c r="Q159" s="179"/>
      <c r="R159" s="179"/>
      <c r="S159" s="179"/>
      <c r="T159" s="179"/>
      <c r="U159" s="180" t="s">
        <v>39</v>
      </c>
      <c r="V159" s="180"/>
      <c r="W159" s="180"/>
      <c r="X159" s="181"/>
      <c r="Y159" s="55"/>
      <c r="Z159" s="56"/>
      <c r="AA159" s="56"/>
      <c r="AB159" s="56"/>
      <c r="AC159" s="56"/>
      <c r="AD159" s="56"/>
      <c r="AE159" s="56"/>
    </row>
    <row r="160" spans="1:31" s="16" customFormat="1" ht="15" customHeight="1">
      <c r="A160" s="24"/>
      <c r="B160" s="167"/>
      <c r="C160" s="168"/>
      <c r="D160" s="169"/>
      <c r="E160" s="175"/>
      <c r="F160" s="176"/>
      <c r="G160" s="177" t="s">
        <v>1</v>
      </c>
      <c r="H160" s="177"/>
      <c r="I160" s="177" t="s">
        <v>2</v>
      </c>
      <c r="J160" s="177"/>
      <c r="K160" s="177" t="s">
        <v>3</v>
      </c>
      <c r="L160" s="177"/>
      <c r="M160" s="187"/>
      <c r="N160" s="187"/>
      <c r="O160" s="160" t="s">
        <v>63</v>
      </c>
      <c r="P160" s="160"/>
      <c r="Q160" s="160" t="s">
        <v>46</v>
      </c>
      <c r="R160" s="160"/>
      <c r="S160" s="160" t="s">
        <v>40</v>
      </c>
      <c r="T160" s="160"/>
      <c r="U160" s="160" t="s">
        <v>41</v>
      </c>
      <c r="V160" s="160"/>
      <c r="W160" s="160" t="s">
        <v>42</v>
      </c>
      <c r="X160" s="182"/>
      <c r="Y160" s="55"/>
      <c r="Z160" s="56"/>
      <c r="AA160" s="56"/>
      <c r="AB160" s="56"/>
      <c r="AC160" s="56"/>
      <c r="AD160" s="56"/>
      <c r="AE160" s="56"/>
    </row>
    <row r="161" spans="1:31" s="16" customFormat="1" ht="15" customHeight="1">
      <c r="A161" s="24"/>
      <c r="B161" s="170"/>
      <c r="C161" s="171"/>
      <c r="D161" s="172"/>
      <c r="E161" s="91" t="s">
        <v>21</v>
      </c>
      <c r="F161" s="91" t="s">
        <v>22</v>
      </c>
      <c r="G161" s="91" t="s">
        <v>21</v>
      </c>
      <c r="H161" s="91" t="s">
        <v>22</v>
      </c>
      <c r="I161" s="91" t="s">
        <v>21</v>
      </c>
      <c r="J161" s="91" t="s">
        <v>22</v>
      </c>
      <c r="K161" s="91" t="s">
        <v>21</v>
      </c>
      <c r="L161" s="91" t="s">
        <v>22</v>
      </c>
      <c r="M161" s="91" t="s">
        <v>21</v>
      </c>
      <c r="N161" s="91" t="s">
        <v>22</v>
      </c>
      <c r="O161" s="91" t="s">
        <v>21</v>
      </c>
      <c r="P161" s="91" t="s">
        <v>22</v>
      </c>
      <c r="Q161" s="91" t="s">
        <v>21</v>
      </c>
      <c r="R161" s="91" t="s">
        <v>22</v>
      </c>
      <c r="S161" s="91" t="s">
        <v>21</v>
      </c>
      <c r="T161" s="91" t="s">
        <v>22</v>
      </c>
      <c r="U161" s="91" t="s">
        <v>21</v>
      </c>
      <c r="V161" s="91" t="s">
        <v>22</v>
      </c>
      <c r="W161" s="91" t="s">
        <v>21</v>
      </c>
      <c r="X161" s="83" t="s">
        <v>22</v>
      </c>
      <c r="Y161" s="55"/>
      <c r="Z161" s="56"/>
      <c r="AA161" s="56"/>
      <c r="AB161" s="56"/>
      <c r="AC161" s="56"/>
      <c r="AD161" s="56"/>
      <c r="AE161" s="56"/>
    </row>
    <row r="162" spans="1:31" s="86" customFormat="1" ht="15" customHeight="1">
      <c r="A162" s="24"/>
      <c r="B162" s="189" t="s">
        <v>44</v>
      </c>
      <c r="C162" s="190"/>
      <c r="D162" s="191"/>
      <c r="E162" s="29">
        <f>E152+E122+E96+E67+E40</f>
        <v>634.42</v>
      </c>
      <c r="F162" s="29">
        <f>F152+F122+F96+F67+F40</f>
        <v>560.4499999999999</v>
      </c>
      <c r="G162" s="29">
        <f>G152-53+G122+G96+G67+G40</f>
        <v>270.6884615384615</v>
      </c>
      <c r="H162" s="29">
        <f>H152+H122-42+H96+H67-25+H40</f>
        <v>214.54969178082192</v>
      </c>
      <c r="I162" s="29">
        <f>I152+I122-0+I96+I67+I40</f>
        <v>299.37615384615384</v>
      </c>
      <c r="J162" s="29">
        <f>J152+J122-18+J96+J67+J40</f>
        <v>234.42761111111105</v>
      </c>
      <c r="K162" s="92">
        <f aca="true" t="shared" si="34" ref="K162:R162">K152+K122+K96+K67+K40</f>
        <v>1250.6647435897435</v>
      </c>
      <c r="L162" s="92">
        <f t="shared" si="34"/>
        <v>1054.3747716894977</v>
      </c>
      <c r="M162" s="92">
        <f t="shared" si="34"/>
        <v>8765.474615384614</v>
      </c>
      <c r="N162" s="92">
        <f t="shared" si="34"/>
        <v>7321.019029680366</v>
      </c>
      <c r="O162" s="29">
        <f t="shared" si="34"/>
        <v>5.303000000000001</v>
      </c>
      <c r="P162" s="29">
        <f t="shared" si="34"/>
        <v>4.187632287594014</v>
      </c>
      <c r="Q162" s="29">
        <f t="shared" si="34"/>
        <v>6.752</v>
      </c>
      <c r="R162" s="29">
        <f t="shared" si="34"/>
        <v>5.736657559627554</v>
      </c>
      <c r="S162" s="29">
        <f>S152-70+S122+S96+S67+S40</f>
        <v>252.84033333333335</v>
      </c>
      <c r="T162" s="29">
        <f>T152-35+T122+T96+T67+T40</f>
        <v>229.8034132420091</v>
      </c>
      <c r="U162" s="92" t="e">
        <f>U152+U122+U96+U67+U40</f>
        <v>#REF!</v>
      </c>
      <c r="V162" s="92" t="e">
        <f>V152+V122+V96+V67+V40</f>
        <v>#REF!</v>
      </c>
      <c r="W162" s="29" t="e">
        <f>W152+W122+W96+W67+W40</f>
        <v>#REF!</v>
      </c>
      <c r="X162" s="74" t="e">
        <f>X152+X122+X96+X67+X40</f>
        <v>#REF!</v>
      </c>
      <c r="Y162" s="93"/>
      <c r="Z162" s="94"/>
      <c r="AA162" s="94"/>
      <c r="AB162" s="94"/>
      <c r="AC162" s="94"/>
      <c r="AD162" s="105"/>
      <c r="AE162" s="105"/>
    </row>
    <row r="163" spans="1:31" s="86" customFormat="1" ht="15" customHeight="1">
      <c r="A163" s="24"/>
      <c r="B163" s="161" t="s">
        <v>45</v>
      </c>
      <c r="C163" s="162"/>
      <c r="D163" s="163"/>
      <c r="E163" s="29">
        <f>E162/5</f>
        <v>126.88399999999999</v>
      </c>
      <c r="F163" s="29">
        <f>F162/5</f>
        <v>112.08999999999999</v>
      </c>
      <c r="G163" s="29">
        <f aca="true" t="shared" si="35" ref="G163:O163">G162/5</f>
        <v>54.137692307692305</v>
      </c>
      <c r="H163" s="29">
        <f t="shared" si="35"/>
        <v>42.90993835616438</v>
      </c>
      <c r="I163" s="29">
        <f t="shared" si="35"/>
        <v>59.87523076923077</v>
      </c>
      <c r="J163" s="29">
        <f t="shared" si="35"/>
        <v>46.88552222222221</v>
      </c>
      <c r="K163" s="29">
        <f t="shared" si="35"/>
        <v>250.1329487179487</v>
      </c>
      <c r="L163" s="29">
        <f t="shared" si="35"/>
        <v>210.87495433789954</v>
      </c>
      <c r="M163" s="29">
        <f>M162/5</f>
        <v>1753.0949230769227</v>
      </c>
      <c r="N163" s="29">
        <f>N162/5</f>
        <v>1464.2038059360732</v>
      </c>
      <c r="O163" s="84">
        <f t="shared" si="35"/>
        <v>1.0606000000000002</v>
      </c>
      <c r="P163" s="84">
        <f aca="true" t="shared" si="36" ref="P163:X163">P162/5</f>
        <v>0.8375264575188028</v>
      </c>
      <c r="Q163" s="84">
        <f t="shared" si="36"/>
        <v>1.3504</v>
      </c>
      <c r="R163" s="84">
        <f t="shared" si="36"/>
        <v>1.1473315119255107</v>
      </c>
      <c r="S163" s="29">
        <f t="shared" si="36"/>
        <v>50.56806666666667</v>
      </c>
      <c r="T163" s="29">
        <f t="shared" si="36"/>
        <v>45.96068264840182</v>
      </c>
      <c r="U163" s="29" t="e">
        <f>U162/5</f>
        <v>#REF!</v>
      </c>
      <c r="V163" s="29" t="e">
        <f>V162/5</f>
        <v>#REF!</v>
      </c>
      <c r="W163" s="29" t="e">
        <f t="shared" si="36"/>
        <v>#REF!</v>
      </c>
      <c r="X163" s="74" t="e">
        <f t="shared" si="36"/>
        <v>#REF!</v>
      </c>
      <c r="Y163" s="93"/>
      <c r="Z163" s="94"/>
      <c r="AA163" s="94"/>
      <c r="AB163" s="94"/>
      <c r="AC163" s="94"/>
      <c r="AD163" s="105"/>
      <c r="AE163" s="105"/>
    </row>
    <row r="164" spans="1:14" s="16" customFormat="1" ht="15" customHeight="1">
      <c r="A164" s="24"/>
      <c r="B164" s="31"/>
      <c r="C164" s="31"/>
      <c r="D164" s="31"/>
      <c r="E164" s="31"/>
      <c r="F164" s="31"/>
      <c r="G164" s="31"/>
      <c r="H164" s="31"/>
      <c r="I164" s="31"/>
      <c r="J164" s="31"/>
      <c r="K164" s="18"/>
      <c r="L164" s="18"/>
      <c r="M164" s="32"/>
      <c r="N164" s="33"/>
    </row>
    <row r="165" spans="1:14" s="86" customFormat="1" ht="15" customHeight="1">
      <c r="A165" s="24"/>
      <c r="B165" s="31"/>
      <c r="C165" s="31"/>
      <c r="D165" s="31"/>
      <c r="E165" s="31"/>
      <c r="F165" s="31"/>
      <c r="G165" s="31"/>
      <c r="H165" s="31"/>
      <c r="I165" s="31"/>
      <c r="J165" s="95"/>
      <c r="K165" s="18"/>
      <c r="L165" s="18"/>
      <c r="M165" s="96"/>
      <c r="N165" s="95"/>
    </row>
    <row r="166" spans="1:14" s="86" customFormat="1" ht="15" customHeight="1">
      <c r="A166" s="24"/>
      <c r="B166" s="31"/>
      <c r="C166" s="31"/>
      <c r="D166" s="31"/>
      <c r="E166" s="31"/>
      <c r="F166" s="31"/>
      <c r="G166" s="31"/>
      <c r="H166" s="31"/>
      <c r="I166" s="31"/>
      <c r="J166" s="95"/>
      <c r="K166" s="18"/>
      <c r="L166" s="18"/>
      <c r="M166" s="95"/>
      <c r="N166" s="95"/>
    </row>
    <row r="167" spans="1:14" s="86" customFormat="1" ht="15" customHeight="1">
      <c r="A167" s="24"/>
      <c r="B167" s="36"/>
      <c r="C167" s="36"/>
      <c r="D167" s="36"/>
      <c r="E167" s="37"/>
      <c r="F167" s="38"/>
      <c r="G167" s="39"/>
      <c r="H167" s="39"/>
      <c r="I167" s="39"/>
      <c r="J167" s="39"/>
      <c r="K167" s="98"/>
      <c r="L167" s="98"/>
      <c r="M167" s="98"/>
      <c r="N167" s="98"/>
    </row>
    <row r="168" spans="1:14" s="16" customFormat="1" ht="15" customHeight="1">
      <c r="A168" s="24"/>
      <c r="B168" s="12" t="s">
        <v>53</v>
      </c>
      <c r="C168" s="13"/>
      <c r="D168" s="14"/>
      <c r="E168" s="14"/>
      <c r="F168" s="14"/>
      <c r="G168" s="14"/>
      <c r="H168" s="13"/>
      <c r="I168" s="13"/>
      <c r="J168" s="13" t="s">
        <v>49</v>
      </c>
      <c r="K168" s="13"/>
      <c r="L168" s="13"/>
      <c r="M168" s="33"/>
      <c r="N168" s="33"/>
    </row>
    <row r="169" spans="1:14" s="16" customFormat="1" ht="15" customHeight="1">
      <c r="A169" s="24"/>
      <c r="B169" s="12"/>
      <c r="C169" s="13"/>
      <c r="D169" s="14"/>
      <c r="E169" s="14"/>
      <c r="F169" s="14"/>
      <c r="G169" s="14"/>
      <c r="H169" s="13"/>
      <c r="I169" s="13"/>
      <c r="J169" s="13"/>
      <c r="K169" s="13"/>
      <c r="L169" s="13"/>
      <c r="M169" s="33"/>
      <c r="N169" s="33"/>
    </row>
    <row r="170" spans="1:14" s="16" customFormat="1" ht="15" customHeight="1">
      <c r="A170" s="24"/>
      <c r="B170" s="15" t="s">
        <v>127</v>
      </c>
      <c r="C170" s="15"/>
      <c r="D170" s="15"/>
      <c r="E170" s="15"/>
      <c r="F170" s="15"/>
      <c r="G170" s="15"/>
      <c r="H170" s="15"/>
      <c r="I170" s="15"/>
      <c r="J170" s="13" t="s">
        <v>117</v>
      </c>
      <c r="K170" s="13"/>
      <c r="L170" s="13"/>
      <c r="M170" s="33"/>
      <c r="N170" s="33"/>
    </row>
    <row r="171" spans="1:14" s="16" customFormat="1" ht="15" customHeight="1">
      <c r="A171" s="24"/>
      <c r="B171" s="1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33"/>
      <c r="N171" s="33"/>
    </row>
    <row r="172" spans="1:14" s="16" customFormat="1" ht="15" customHeight="1">
      <c r="A172" s="24"/>
      <c r="B172" s="106" t="s">
        <v>77</v>
      </c>
      <c r="C172" s="12"/>
      <c r="D172" s="12"/>
      <c r="E172" s="13"/>
      <c r="F172" s="13"/>
      <c r="G172" s="12"/>
      <c r="H172" s="12"/>
      <c r="I172" s="12"/>
      <c r="J172" s="106" t="s">
        <v>116</v>
      </c>
      <c r="K172" s="12"/>
      <c r="L172" s="13"/>
      <c r="M172" s="97"/>
      <c r="N172" s="97"/>
    </row>
    <row r="173" spans="1:14" s="16" customFormat="1" ht="15" customHeight="1">
      <c r="A173" s="24"/>
      <c r="B173" s="1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97"/>
      <c r="N173" s="97"/>
    </row>
    <row r="174" spans="1:14" s="16" customFormat="1" ht="15" customHeight="1">
      <c r="A174" s="24" t="s">
        <v>185</v>
      </c>
      <c r="B174" s="15" t="s">
        <v>186</v>
      </c>
      <c r="C174" s="99"/>
      <c r="D174" s="99"/>
      <c r="E174" s="99"/>
      <c r="F174" s="99"/>
      <c r="G174" s="15"/>
      <c r="H174" s="15"/>
      <c r="I174" s="15"/>
      <c r="J174" s="13" t="s">
        <v>187</v>
      </c>
      <c r="L174" s="13"/>
      <c r="M174" s="97"/>
      <c r="N174" s="97"/>
    </row>
    <row r="175" spans="1:14" s="16" customFormat="1" ht="14.25">
      <c r="A175" s="24"/>
      <c r="B175" s="34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1:14" s="16" customFormat="1" ht="14.25">
      <c r="A176" s="24"/>
      <c r="B176" s="34"/>
      <c r="C176" s="34"/>
      <c r="D176" s="34"/>
      <c r="E176" s="35"/>
      <c r="F176" s="35"/>
      <c r="G176" s="34"/>
      <c r="H176" s="34"/>
      <c r="I176" s="34"/>
      <c r="J176" s="34"/>
      <c r="K176" s="34"/>
      <c r="L176" s="34"/>
      <c r="M176" s="97"/>
      <c r="N176" s="97"/>
    </row>
    <row r="177" spans="1:14" s="16" customFormat="1" ht="14.25">
      <c r="A177" s="24"/>
      <c r="B177" s="34"/>
      <c r="C177" s="34"/>
      <c r="D177" s="34"/>
      <c r="E177" s="35"/>
      <c r="F177" s="35"/>
      <c r="G177" s="34"/>
      <c r="H177" s="34"/>
      <c r="I177" s="34"/>
      <c r="J177" s="34"/>
      <c r="K177" s="34"/>
      <c r="L177" s="34"/>
      <c r="M177" s="97"/>
      <c r="N177" s="97"/>
    </row>
    <row r="178" spans="1:14" s="16" customFormat="1" ht="14.25">
      <c r="A178" s="24"/>
      <c r="B178" s="34"/>
      <c r="C178" s="34"/>
      <c r="D178" s="34"/>
      <c r="E178" s="35"/>
      <c r="F178" s="35"/>
      <c r="G178" s="34"/>
      <c r="H178" s="34"/>
      <c r="I178" s="34"/>
      <c r="J178" s="34"/>
      <c r="K178" s="34"/>
      <c r="L178" s="34"/>
      <c r="M178" s="97"/>
      <c r="N178" s="97"/>
    </row>
    <row r="179" spans="1:14" s="16" customFormat="1" ht="14.25">
      <c r="A179" s="24"/>
      <c r="B179" s="34"/>
      <c r="C179" s="34"/>
      <c r="D179" s="34"/>
      <c r="E179" s="35"/>
      <c r="F179" s="35"/>
      <c r="G179" s="34"/>
      <c r="H179" s="34"/>
      <c r="I179" s="34"/>
      <c r="J179" s="34"/>
      <c r="K179" s="34"/>
      <c r="L179" s="34"/>
      <c r="M179" s="97"/>
      <c r="N179" s="97"/>
    </row>
    <row r="180" spans="1:14" s="16" customFormat="1" ht="12.75">
      <c r="A180" s="24"/>
      <c r="B180" s="18"/>
      <c r="C180" s="18"/>
      <c r="D180" s="18"/>
      <c r="E180" s="19"/>
      <c r="F180" s="19"/>
      <c r="G180" s="18"/>
      <c r="H180" s="18"/>
      <c r="I180" s="18"/>
      <c r="J180" s="18"/>
      <c r="K180" s="18"/>
      <c r="L180" s="18"/>
      <c r="M180" s="18"/>
      <c r="N180" s="18"/>
    </row>
    <row r="181" spans="1:14" s="16" customFormat="1" ht="12.75">
      <c r="A181" s="24"/>
      <c r="B181" s="18"/>
      <c r="C181" s="18"/>
      <c r="D181" s="18"/>
      <c r="E181" s="19"/>
      <c r="F181" s="19"/>
      <c r="G181" s="18"/>
      <c r="H181" s="18"/>
      <c r="I181" s="18"/>
      <c r="J181" s="18"/>
      <c r="K181" s="18"/>
      <c r="L181" s="18"/>
      <c r="M181" s="18"/>
      <c r="N181" s="18"/>
    </row>
    <row r="182" spans="1:14" s="16" customFormat="1" ht="12.75">
      <c r="A182" s="24"/>
      <c r="B182" s="18"/>
      <c r="C182" s="18"/>
      <c r="D182" s="18"/>
      <c r="E182" s="19"/>
      <c r="F182" s="19"/>
      <c r="G182" s="18"/>
      <c r="H182" s="18"/>
      <c r="I182" s="18"/>
      <c r="J182" s="18"/>
      <c r="K182" s="18"/>
      <c r="L182" s="18"/>
      <c r="M182" s="18"/>
      <c r="N182" s="18"/>
    </row>
    <row r="183" spans="1:14" s="16" customFormat="1" ht="12.75">
      <c r="A183" s="24"/>
      <c r="B183" s="18"/>
      <c r="C183" s="18"/>
      <c r="D183" s="18"/>
      <c r="E183" s="19"/>
      <c r="F183" s="19"/>
      <c r="G183" s="18"/>
      <c r="H183" s="18"/>
      <c r="I183" s="18"/>
      <c r="J183" s="18"/>
      <c r="K183" s="18"/>
      <c r="L183" s="18"/>
      <c r="M183" s="18"/>
      <c r="N183" s="18"/>
    </row>
    <row r="184" spans="1:14" s="16" customFormat="1" ht="12.75">
      <c r="A184" s="24"/>
      <c r="B184" s="18"/>
      <c r="C184" s="18"/>
      <c r="D184" s="18"/>
      <c r="E184" s="19"/>
      <c r="F184" s="19"/>
      <c r="G184" s="18"/>
      <c r="H184" s="18"/>
      <c r="I184" s="18"/>
      <c r="J184" s="18"/>
      <c r="K184" s="18"/>
      <c r="L184" s="18"/>
      <c r="M184" s="18"/>
      <c r="N184" s="18"/>
    </row>
    <row r="185" spans="1:14" s="16" customFormat="1" ht="12.75">
      <c r="A185" s="24"/>
      <c r="B185" s="18"/>
      <c r="C185" s="18"/>
      <c r="D185" s="18"/>
      <c r="E185" s="19"/>
      <c r="F185" s="19"/>
      <c r="G185" s="18"/>
      <c r="H185" s="18"/>
      <c r="I185" s="18"/>
      <c r="J185" s="18"/>
      <c r="K185" s="18"/>
      <c r="L185" s="18"/>
      <c r="M185" s="18"/>
      <c r="N185" s="18"/>
    </row>
    <row r="186" spans="1:14" s="16" customFormat="1" ht="12.75">
      <c r="A186" s="24"/>
      <c r="B186" s="18"/>
      <c r="C186" s="18"/>
      <c r="D186" s="18"/>
      <c r="E186" s="19"/>
      <c r="F186" s="19"/>
      <c r="G186" s="18"/>
      <c r="H186" s="18"/>
      <c r="I186" s="18"/>
      <c r="J186" s="18"/>
      <c r="K186" s="18"/>
      <c r="L186" s="18"/>
      <c r="M186" s="18"/>
      <c r="N186" s="18"/>
    </row>
    <row r="187" spans="1:14" s="16" customFormat="1" ht="12.75">
      <c r="A187" s="24"/>
      <c r="B187" s="18"/>
      <c r="C187" s="18"/>
      <c r="D187" s="18"/>
      <c r="E187" s="19"/>
      <c r="F187" s="19"/>
      <c r="G187" s="18"/>
      <c r="H187" s="18"/>
      <c r="I187" s="18"/>
      <c r="J187" s="18"/>
      <c r="K187" s="18"/>
      <c r="L187" s="18"/>
      <c r="M187" s="18"/>
      <c r="N187" s="18"/>
    </row>
    <row r="188" spans="1:14" s="16" customFormat="1" ht="12.75">
      <c r="A188" s="24"/>
      <c r="B188" s="18"/>
      <c r="C188" s="18"/>
      <c r="D188" s="18"/>
      <c r="E188" s="19"/>
      <c r="F188" s="19"/>
      <c r="G188" s="18"/>
      <c r="H188" s="18"/>
      <c r="I188" s="18"/>
      <c r="J188" s="18"/>
      <c r="K188" s="18"/>
      <c r="L188" s="18"/>
      <c r="M188" s="18"/>
      <c r="N188" s="18"/>
    </row>
    <row r="189" spans="1:14" s="16" customFormat="1" ht="12.75">
      <c r="A189" s="24"/>
      <c r="B189" s="18"/>
      <c r="C189" s="18"/>
      <c r="D189" s="18"/>
      <c r="E189" s="19"/>
      <c r="F189" s="19"/>
      <c r="G189" s="18"/>
      <c r="H189" s="18"/>
      <c r="I189" s="18"/>
      <c r="J189" s="18"/>
      <c r="K189" s="18"/>
      <c r="L189" s="18"/>
      <c r="M189" s="18"/>
      <c r="N189" s="18"/>
    </row>
    <row r="190" spans="1:14" s="16" customFormat="1" ht="12.75">
      <c r="A190" s="24"/>
      <c r="B190" s="18"/>
      <c r="C190" s="18"/>
      <c r="D190" s="18"/>
      <c r="E190" s="19"/>
      <c r="F190" s="19"/>
      <c r="G190" s="18"/>
      <c r="H190" s="18"/>
      <c r="I190" s="18"/>
      <c r="J190" s="18"/>
      <c r="K190" s="18"/>
      <c r="L190" s="18"/>
      <c r="M190" s="18"/>
      <c r="N190" s="18"/>
    </row>
    <row r="191" spans="1:14" s="16" customFormat="1" ht="12.75">
      <c r="A191" s="24"/>
      <c r="B191" s="18"/>
      <c r="C191" s="18"/>
      <c r="D191" s="18"/>
      <c r="E191" s="19"/>
      <c r="F191" s="19"/>
      <c r="G191" s="18"/>
      <c r="H191" s="18"/>
      <c r="I191" s="18"/>
      <c r="J191" s="18"/>
      <c r="K191" s="18"/>
      <c r="L191" s="18"/>
      <c r="M191" s="18"/>
      <c r="N191" s="18"/>
    </row>
    <row r="192" spans="1:14" s="16" customFormat="1" ht="12.75">
      <c r="A192" s="24"/>
      <c r="B192" s="18"/>
      <c r="C192" s="18"/>
      <c r="D192" s="18"/>
      <c r="E192" s="19"/>
      <c r="F192" s="19"/>
      <c r="G192" s="18"/>
      <c r="H192" s="18"/>
      <c r="I192" s="18"/>
      <c r="J192" s="18"/>
      <c r="K192" s="18"/>
      <c r="L192" s="18"/>
      <c r="M192" s="18"/>
      <c r="N192" s="18"/>
    </row>
    <row r="193" spans="1:14" s="16" customFormat="1" ht="12.75">
      <c r="A193" s="24"/>
      <c r="B193" s="18"/>
      <c r="C193" s="18"/>
      <c r="D193" s="18"/>
      <c r="E193" s="19"/>
      <c r="F193" s="19"/>
      <c r="G193" s="18"/>
      <c r="H193" s="18"/>
      <c r="I193" s="18"/>
      <c r="J193" s="18"/>
      <c r="K193" s="18"/>
      <c r="L193" s="18"/>
      <c r="M193" s="18"/>
      <c r="N193" s="18"/>
    </row>
    <row r="194" spans="1:14" s="16" customFormat="1" ht="12.75">
      <c r="A194" s="24"/>
      <c r="B194" s="18"/>
      <c r="C194" s="18"/>
      <c r="D194" s="18"/>
      <c r="E194" s="19"/>
      <c r="F194" s="19"/>
      <c r="G194" s="18"/>
      <c r="H194" s="18"/>
      <c r="I194" s="18"/>
      <c r="J194" s="18"/>
      <c r="K194" s="18"/>
      <c r="L194" s="18"/>
      <c r="M194" s="18"/>
      <c r="N194" s="18"/>
    </row>
    <row r="195" spans="1:14" s="16" customFormat="1" ht="12.75">
      <c r="A195" s="24"/>
      <c r="B195" s="18"/>
      <c r="C195" s="18"/>
      <c r="D195" s="18"/>
      <c r="E195" s="19"/>
      <c r="F195" s="19"/>
      <c r="G195" s="18"/>
      <c r="H195" s="18"/>
      <c r="I195" s="18"/>
      <c r="J195" s="18"/>
      <c r="K195" s="18"/>
      <c r="L195" s="18"/>
      <c r="M195" s="18"/>
      <c r="N195" s="18"/>
    </row>
    <row r="196" spans="1:14" s="16" customFormat="1" ht="12.75">
      <c r="A196" s="24"/>
      <c r="B196" s="18"/>
      <c r="C196" s="18"/>
      <c r="D196" s="18"/>
      <c r="E196" s="19"/>
      <c r="F196" s="19"/>
      <c r="G196" s="18"/>
      <c r="H196" s="18"/>
      <c r="I196" s="18"/>
      <c r="J196" s="18"/>
      <c r="K196" s="18"/>
      <c r="L196" s="18"/>
      <c r="M196" s="18"/>
      <c r="N196" s="18"/>
    </row>
    <row r="197" spans="1:14" s="16" customFormat="1" ht="12.75">
      <c r="A197" s="24"/>
      <c r="B197" s="18"/>
      <c r="C197" s="18"/>
      <c r="D197" s="18"/>
      <c r="E197" s="19"/>
      <c r="F197" s="19"/>
      <c r="G197" s="18"/>
      <c r="H197" s="18"/>
      <c r="I197" s="18"/>
      <c r="J197" s="18"/>
      <c r="K197" s="18"/>
      <c r="L197" s="18"/>
      <c r="M197" s="18"/>
      <c r="N197" s="18"/>
    </row>
    <row r="198" spans="1:14" s="16" customFormat="1" ht="12.75">
      <c r="A198" s="24"/>
      <c r="B198" s="18"/>
      <c r="C198" s="18"/>
      <c r="D198" s="18"/>
      <c r="E198" s="19"/>
      <c r="F198" s="19"/>
      <c r="G198" s="18"/>
      <c r="H198" s="18"/>
      <c r="I198" s="18"/>
      <c r="J198" s="18"/>
      <c r="K198" s="18"/>
      <c r="L198" s="18"/>
      <c r="M198" s="18"/>
      <c r="N198" s="18"/>
    </row>
    <row r="199" spans="1:14" s="16" customFormat="1" ht="12.75">
      <c r="A199" s="24"/>
      <c r="B199" s="18"/>
      <c r="C199" s="18"/>
      <c r="D199" s="18"/>
      <c r="E199" s="19"/>
      <c r="F199" s="19"/>
      <c r="G199" s="18"/>
      <c r="H199" s="18"/>
      <c r="I199" s="18"/>
      <c r="J199" s="18"/>
      <c r="K199" s="18"/>
      <c r="L199" s="18"/>
      <c r="M199" s="18"/>
      <c r="N199" s="18"/>
    </row>
    <row r="200" spans="1:14" s="16" customFormat="1" ht="12.75">
      <c r="A200" s="24"/>
      <c r="B200" s="18"/>
      <c r="C200" s="18"/>
      <c r="D200" s="18"/>
      <c r="E200" s="19"/>
      <c r="F200" s="19"/>
      <c r="G200" s="18"/>
      <c r="H200" s="18"/>
      <c r="I200" s="18"/>
      <c r="J200" s="18"/>
      <c r="K200" s="18"/>
      <c r="L200" s="18"/>
      <c r="M200" s="18"/>
      <c r="N200" s="18"/>
    </row>
    <row r="201" spans="1:14" s="16" customFormat="1" ht="12.75">
      <c r="A201" s="24"/>
      <c r="B201" s="18"/>
      <c r="C201" s="18"/>
      <c r="D201" s="18"/>
      <c r="E201" s="19"/>
      <c r="F201" s="19"/>
      <c r="G201" s="18"/>
      <c r="H201" s="18"/>
      <c r="I201" s="18"/>
      <c r="J201" s="18"/>
      <c r="K201" s="18"/>
      <c r="L201" s="18"/>
      <c r="M201" s="18"/>
      <c r="N201" s="18"/>
    </row>
    <row r="202" spans="1:14" s="16" customFormat="1" ht="12.75">
      <c r="A202" s="24"/>
      <c r="B202" s="18"/>
      <c r="C202" s="18"/>
      <c r="D202" s="18"/>
      <c r="E202" s="19"/>
      <c r="F202" s="19"/>
      <c r="G202" s="18"/>
      <c r="H202" s="18"/>
      <c r="I202" s="18"/>
      <c r="J202" s="18"/>
      <c r="K202" s="18"/>
      <c r="L202" s="18"/>
      <c r="M202" s="18"/>
      <c r="N202" s="18"/>
    </row>
    <row r="203" spans="1:14" s="16" customFormat="1" ht="12.75">
      <c r="A203" s="24"/>
      <c r="B203" s="18"/>
      <c r="C203" s="18"/>
      <c r="D203" s="18"/>
      <c r="E203" s="19"/>
      <c r="F203" s="19"/>
      <c r="G203" s="18"/>
      <c r="H203" s="18"/>
      <c r="I203" s="18"/>
      <c r="J203" s="18"/>
      <c r="K203" s="18"/>
      <c r="L203" s="18"/>
      <c r="M203" s="18"/>
      <c r="N203" s="18"/>
    </row>
    <row r="204" spans="1:14" s="16" customFormat="1" ht="12.75">
      <c r="A204" s="24"/>
      <c r="B204" s="18"/>
      <c r="C204" s="18"/>
      <c r="D204" s="18"/>
      <c r="E204" s="19"/>
      <c r="F204" s="19"/>
      <c r="G204" s="18"/>
      <c r="H204" s="18"/>
      <c r="I204" s="18"/>
      <c r="J204" s="18"/>
      <c r="K204" s="18"/>
      <c r="L204" s="18"/>
      <c r="M204" s="18"/>
      <c r="N204" s="18"/>
    </row>
  </sheetData>
  <sheetProtection/>
  <mergeCells count="34">
    <mergeCell ref="K160:L160"/>
    <mergeCell ref="M159:N160"/>
    <mergeCell ref="S160:T160"/>
    <mergeCell ref="Q160:R160"/>
    <mergeCell ref="I11:J11"/>
    <mergeCell ref="K11:L11"/>
    <mergeCell ref="G10:L10"/>
    <mergeCell ref="M10:N11"/>
    <mergeCell ref="S11:T11"/>
    <mergeCell ref="G11:H11"/>
    <mergeCell ref="U10:X10"/>
    <mergeCell ref="M4:N4"/>
    <mergeCell ref="O10:T10"/>
    <mergeCell ref="Q11:R11"/>
    <mergeCell ref="U159:X159"/>
    <mergeCell ref="U160:V160"/>
    <mergeCell ref="W160:X160"/>
    <mergeCell ref="W11:X11"/>
    <mergeCell ref="U11:V11"/>
    <mergeCell ref="A8:X8"/>
    <mergeCell ref="A10:A11"/>
    <mergeCell ref="B10:B11"/>
    <mergeCell ref="C10:D11"/>
    <mergeCell ref="E10:F11"/>
    <mergeCell ref="O11:P11"/>
    <mergeCell ref="B163:D163"/>
    <mergeCell ref="B159:D161"/>
    <mergeCell ref="E159:F160"/>
    <mergeCell ref="I160:J160"/>
    <mergeCell ref="G159:L159"/>
    <mergeCell ref="G160:H160"/>
    <mergeCell ref="O159:T159"/>
    <mergeCell ref="O160:P160"/>
    <mergeCell ref="B162:D162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2019-01-29T08:29:07Z</cp:lastPrinted>
  <dcterms:created xsi:type="dcterms:W3CDTF">2010-07-29T06:39:54Z</dcterms:created>
  <dcterms:modified xsi:type="dcterms:W3CDTF">2019-02-05T13:21:58Z</dcterms:modified>
  <cp:category/>
  <cp:version/>
  <cp:contentType/>
  <cp:contentStatus/>
</cp:coreProperties>
</file>